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pivotTables/pivotTable1.xml" ContentType="application/vnd.openxmlformats-officedocument.spreadsheetml.pivotTable+xml"/>
  <Override PartName="/xl/drawings/drawing8.xml" ContentType="application/vnd.openxmlformats-officedocument.drawing+xml"/>
  <Override PartName="/xl/slicers/slicer2.xml" ContentType="application/vnd.ms-excel.slicer+xml"/>
  <Override PartName="/xl/timelines/timeline1.xml" ContentType="application/vnd.ms-excel.timelin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mc:AlternateContent xmlns:mc="http://schemas.openxmlformats.org/markup-compatibility/2006">
    <mc:Choice Requires="x15">
      <x15ac:absPath xmlns:x15ac="http://schemas.microsoft.com/office/spreadsheetml/2010/11/ac" url="/Users/ibahr/Downloads/"/>
    </mc:Choice>
  </mc:AlternateContent>
  <xr:revisionPtr revIDLastSave="0" documentId="8_{24B9AF0C-FE4B-AE4B-BEC5-78227AFA32BB}" xr6:coauthVersionLast="47" xr6:coauthVersionMax="47" xr10:uidLastSave="{00000000-0000-0000-0000-000000000000}"/>
  <bookViews>
    <workbookView xWindow="0" yWindow="0" windowWidth="28800" windowHeight="18000" tabRatio="763" xr2:uid="{00000000-000D-0000-FFFF-FFFF00000000}"/>
  </bookViews>
  <sheets>
    <sheet name="Basisdaten" sheetId="1" r:id="rId1"/>
    <sheet name="Zeiterfassung" sheetId="2" r:id="rId2"/>
    <sheet name="Abwesenheitstage" sheetId="10" r:id="rId3"/>
    <sheet name="R Stundenkonto" sheetId="11" r:id="rId4"/>
    <sheet name="R Std.Monat" sheetId="7" r:id="rId5"/>
    <sheet name="R EUR.Monat" sheetId="8" r:id="rId6"/>
    <sheet name="R Std.Tagessicht" sheetId="9" r:id="rId7"/>
    <sheet name="Feiertage" sheetId="12" r:id="rId8"/>
  </sheets>
  <definedNames>
    <definedName name="_xlnm._FilterDatabase" localSheetId="1" hidden="1">Zeiterfassung!$A$7:$P$104</definedName>
    <definedName name="Datenschnitt_Monat">#N/A</definedName>
    <definedName name="Datenschnitt_Projekt">#N/A</definedName>
    <definedName name="Datenschnitt_Projekt1">#N/A</definedName>
    <definedName name="Datenschnitt_Tätigkeit">#N/A</definedName>
    <definedName name="NativeZeitachse_Tag">#N/A</definedName>
    <definedName name="_xlnm.Print_Area" localSheetId="2">Abwesenheitstage!$A$1:$I$57</definedName>
    <definedName name="_xlnm.Print_Area" localSheetId="5">'R EUR.Monat'!$A$1:$N$40</definedName>
    <definedName name="_xlnm.Print_Area" localSheetId="4">'R Std.Monat'!$A$1:$N$41</definedName>
    <definedName name="_xlnm.Print_Area" localSheetId="3">'R Stundenkonto'!$A$1:$N$27</definedName>
    <definedName name="_xlnm.Print_Area" localSheetId="1">Zeiterfassung!$A$1:$O$110</definedName>
  </definedNames>
  <calcPr calcId="191029"/>
  <pivotCaches>
    <pivotCache cacheId="0" r:id="rId9"/>
  </pivotCaches>
  <extLs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2"/>
      </x15:timelineCacheRefs>
    </ext>
    <ext xmlns:x15="http://schemas.microsoft.com/office/spreadsheetml/2010/11/main" uri="{46BE6895-7355-4a93-B00E-2C351335B9C9}">
      <x15:slicerCaches xmlns:x14="http://schemas.microsoft.com/office/spreadsheetml/2009/9/main">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2" l="1"/>
  <c r="G14" i="2"/>
  <c r="M14" i="2"/>
  <c r="N14" i="2" s="1"/>
  <c r="P14" i="2"/>
  <c r="Q14" i="2"/>
  <c r="R14" i="2"/>
  <c r="A10" i="2"/>
  <c r="G10" i="2"/>
  <c r="M10" i="2"/>
  <c r="N10" i="2" s="1"/>
  <c r="P10" i="2"/>
  <c r="Q10" i="2"/>
  <c r="R10" i="2"/>
  <c r="O14" i="2" l="1"/>
  <c r="O10" i="2"/>
  <c r="H31" i="2" l="1"/>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R8" i="2"/>
  <c r="R9" i="2"/>
  <c r="R11" i="2"/>
  <c r="R12" i="2"/>
  <c r="R13"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Q9" i="2"/>
  <c r="Q11" i="2"/>
  <c r="Q12" i="2"/>
  <c r="Q13"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8" i="2"/>
  <c r="D16" i="11"/>
  <c r="C5" i="11"/>
  <c r="C6" i="11"/>
  <c r="D5" i="11" s="1"/>
  <c r="C7" i="11"/>
  <c r="D6" i="11" s="1"/>
  <c r="C8" i="11"/>
  <c r="D7" i="11" s="1"/>
  <c r="C9" i="11"/>
  <c r="C10" i="11"/>
  <c r="C11" i="11"/>
  <c r="D10" i="11" s="1"/>
  <c r="C12" i="11"/>
  <c r="D11" i="11" s="1"/>
  <c r="C13" i="11"/>
  <c r="D12" i="11" s="1"/>
  <c r="C14" i="11"/>
  <c r="D13" i="11" s="1"/>
  <c r="C15" i="11"/>
  <c r="D14" i="11" s="1"/>
  <c r="C16" i="11"/>
  <c r="D15" i="11" s="1"/>
  <c r="D8" i="11"/>
  <c r="D9" i="11"/>
  <c r="A9" i="2"/>
  <c r="A11" i="2"/>
  <c r="A12" i="2"/>
  <c r="A13" i="2"/>
  <c r="A15" i="2"/>
  <c r="A16" i="2"/>
  <c r="P16" i="2"/>
  <c r="M16" i="2"/>
  <c r="N16" i="2" s="1"/>
  <c r="G16" i="2"/>
  <c r="G9" i="2"/>
  <c r="H10" i="2" s="1"/>
  <c r="M9" i="2"/>
  <c r="N9" i="2" s="1"/>
  <c r="P9" i="2"/>
  <c r="G11" i="2"/>
  <c r="M11" i="2"/>
  <c r="N11" i="2" s="1"/>
  <c r="P11" i="2"/>
  <c r="G12" i="2"/>
  <c r="M12" i="2"/>
  <c r="N12" i="2" s="1"/>
  <c r="P12" i="2"/>
  <c r="G13" i="2"/>
  <c r="H14" i="2" s="1"/>
  <c r="M13" i="2"/>
  <c r="N13" i="2" s="1"/>
  <c r="P13" i="2"/>
  <c r="G15" i="2"/>
  <c r="M15" i="2"/>
  <c r="N15" i="2" s="1"/>
  <c r="P15" i="2"/>
  <c r="K1" i="11"/>
  <c r="A45" i="10"/>
  <c r="A43" i="10"/>
  <c r="A27" i="10"/>
  <c r="A28" i="10"/>
  <c r="A29" i="10"/>
  <c r="A30" i="10"/>
  <c r="A31" i="10"/>
  <c r="A32" i="10"/>
  <c r="A33" i="10"/>
  <c r="A34" i="10"/>
  <c r="A35" i="10"/>
  <c r="A36" i="10"/>
  <c r="A37" i="10"/>
  <c r="A26" i="10"/>
  <c r="A22" i="10"/>
  <c r="A23" i="10"/>
  <c r="A24" i="10"/>
  <c r="A25" i="10"/>
  <c r="A17" i="10"/>
  <c r="A18" i="10"/>
  <c r="A19" i="10"/>
  <c r="A20" i="10"/>
  <c r="A21" i="10"/>
  <c r="A9" i="10"/>
  <c r="A10" i="10"/>
  <c r="A11" i="10"/>
  <c r="A12" i="10"/>
  <c r="A13" i="10"/>
  <c r="A14" i="10"/>
  <c r="A15" i="10"/>
  <c r="A16" i="10"/>
  <c r="D3" i="10"/>
  <c r="D2" i="10"/>
  <c r="E2" i="10" s="1"/>
  <c r="A49" i="10"/>
  <c r="A50" i="10"/>
  <c r="A51" i="10"/>
  <c r="A52" i="10"/>
  <c r="A53" i="10"/>
  <c r="A54" i="10"/>
  <c r="A55" i="10"/>
  <c r="A56" i="10"/>
  <c r="A57" i="10"/>
  <c r="A8" i="10"/>
  <c r="A38" i="10"/>
  <c r="A39" i="10"/>
  <c r="A40" i="10"/>
  <c r="A41" i="10"/>
  <c r="A42" i="10"/>
  <c r="A44" i="10"/>
  <c r="A46" i="10"/>
  <c r="A47" i="10"/>
  <c r="A48" i="10"/>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8" i="2"/>
  <c r="N3" i="2"/>
  <c r="N2" i="2"/>
  <c r="P70" i="2"/>
  <c r="M70" i="2"/>
  <c r="N70" i="2" s="1"/>
  <c r="G70" i="2"/>
  <c r="P69" i="2"/>
  <c r="M69" i="2"/>
  <c r="N69" i="2" s="1"/>
  <c r="G69" i="2"/>
  <c r="P68" i="2"/>
  <c r="M68" i="2"/>
  <c r="O68" i="2" s="1"/>
  <c r="G68" i="2"/>
  <c r="P67" i="2"/>
  <c r="M67" i="2"/>
  <c r="O67" i="2" s="1"/>
  <c r="G67" i="2"/>
  <c r="P66" i="2"/>
  <c r="M66" i="2"/>
  <c r="O66" i="2" s="1"/>
  <c r="G66" i="2"/>
  <c r="P65" i="2"/>
  <c r="M65" i="2"/>
  <c r="N65" i="2" s="1"/>
  <c r="G65" i="2"/>
  <c r="P64" i="2"/>
  <c r="M64" i="2"/>
  <c r="O64" i="2" s="1"/>
  <c r="G64" i="2"/>
  <c r="P63" i="2"/>
  <c r="M63" i="2"/>
  <c r="O63" i="2" s="1"/>
  <c r="G63" i="2"/>
  <c r="P62" i="2"/>
  <c r="M62" i="2"/>
  <c r="O62" i="2" s="1"/>
  <c r="G62" i="2"/>
  <c r="P61" i="2"/>
  <c r="M61" i="2"/>
  <c r="N61" i="2" s="1"/>
  <c r="G61" i="2"/>
  <c r="P60" i="2"/>
  <c r="M60" i="2"/>
  <c r="O60" i="2" s="1"/>
  <c r="G60" i="2"/>
  <c r="P59" i="2"/>
  <c r="M59" i="2"/>
  <c r="O59" i="2" s="1"/>
  <c r="G59" i="2"/>
  <c r="P58" i="2"/>
  <c r="M58" i="2"/>
  <c r="N58" i="2" s="1"/>
  <c r="G58" i="2"/>
  <c r="P57" i="2"/>
  <c r="M57" i="2"/>
  <c r="N57" i="2" s="1"/>
  <c r="G57" i="2"/>
  <c r="P56" i="2"/>
  <c r="M56" i="2"/>
  <c r="O56" i="2" s="1"/>
  <c r="G56" i="2"/>
  <c r="P55" i="2"/>
  <c r="M55" i="2"/>
  <c r="O55" i="2" s="1"/>
  <c r="G55" i="2"/>
  <c r="P54" i="2"/>
  <c r="M54" i="2"/>
  <c r="O54" i="2" s="1"/>
  <c r="G54" i="2"/>
  <c r="P53" i="2"/>
  <c r="M53" i="2"/>
  <c r="N53" i="2" s="1"/>
  <c r="G53" i="2"/>
  <c r="P52" i="2"/>
  <c r="M52" i="2"/>
  <c r="O52" i="2" s="1"/>
  <c r="G52" i="2"/>
  <c r="P51" i="2"/>
  <c r="M51" i="2"/>
  <c r="O51" i="2" s="1"/>
  <c r="G51" i="2"/>
  <c r="P50" i="2"/>
  <c r="M50" i="2"/>
  <c r="O50" i="2" s="1"/>
  <c r="G50" i="2"/>
  <c r="P49" i="2"/>
  <c r="M49" i="2"/>
  <c r="N49" i="2" s="1"/>
  <c r="G49" i="2"/>
  <c r="P48" i="2"/>
  <c r="M48" i="2"/>
  <c r="O48" i="2" s="1"/>
  <c r="G48" i="2"/>
  <c r="P47" i="2"/>
  <c r="M47" i="2"/>
  <c r="O47" i="2" s="1"/>
  <c r="G47" i="2"/>
  <c r="P46" i="2"/>
  <c r="M46" i="2"/>
  <c r="O46" i="2" s="1"/>
  <c r="G46" i="2"/>
  <c r="P45" i="2"/>
  <c r="M45" i="2"/>
  <c r="N45" i="2" s="1"/>
  <c r="G45" i="2"/>
  <c r="P44" i="2"/>
  <c r="M44" i="2"/>
  <c r="O44" i="2" s="1"/>
  <c r="G44" i="2"/>
  <c r="P43" i="2"/>
  <c r="M43" i="2"/>
  <c r="O43" i="2" s="1"/>
  <c r="G43" i="2"/>
  <c r="P42" i="2"/>
  <c r="M42" i="2"/>
  <c r="O42" i="2" s="1"/>
  <c r="G42" i="2"/>
  <c r="P41" i="2"/>
  <c r="M41" i="2"/>
  <c r="N41" i="2" s="1"/>
  <c r="G41" i="2"/>
  <c r="P40" i="2"/>
  <c r="M40" i="2"/>
  <c r="O40" i="2" s="1"/>
  <c r="G40" i="2"/>
  <c r="P39" i="2"/>
  <c r="M39" i="2"/>
  <c r="O39" i="2" s="1"/>
  <c r="G39" i="2"/>
  <c r="P86" i="2"/>
  <c r="M86" i="2"/>
  <c r="N86" i="2" s="1"/>
  <c r="G86" i="2"/>
  <c r="P85" i="2"/>
  <c r="M85" i="2"/>
  <c r="N85" i="2" s="1"/>
  <c r="G85" i="2"/>
  <c r="P84" i="2"/>
  <c r="M84" i="2"/>
  <c r="N84" i="2" s="1"/>
  <c r="G84" i="2"/>
  <c r="P83" i="2"/>
  <c r="M83" i="2"/>
  <c r="O83" i="2" s="1"/>
  <c r="G83" i="2"/>
  <c r="P82" i="2"/>
  <c r="M82" i="2"/>
  <c r="O82" i="2" s="1"/>
  <c r="G82" i="2"/>
  <c r="P81" i="2"/>
  <c r="M81" i="2"/>
  <c r="N81" i="2" s="1"/>
  <c r="G81" i="2"/>
  <c r="P80" i="2"/>
  <c r="M80" i="2"/>
  <c r="N80" i="2" s="1"/>
  <c r="G80" i="2"/>
  <c r="P79" i="2"/>
  <c r="M79" i="2"/>
  <c r="O79" i="2" s="1"/>
  <c r="G79" i="2"/>
  <c r="P78" i="2"/>
  <c r="M78" i="2"/>
  <c r="N78" i="2" s="1"/>
  <c r="G78" i="2"/>
  <c r="P77" i="2"/>
  <c r="M77" i="2"/>
  <c r="N77" i="2" s="1"/>
  <c r="G77" i="2"/>
  <c r="P76" i="2"/>
  <c r="M76" i="2"/>
  <c r="N76" i="2" s="1"/>
  <c r="G76" i="2"/>
  <c r="P75" i="2"/>
  <c r="M75" i="2"/>
  <c r="O75" i="2" s="1"/>
  <c r="G75" i="2"/>
  <c r="P74" i="2"/>
  <c r="M74" i="2"/>
  <c r="O74" i="2" s="1"/>
  <c r="G74" i="2"/>
  <c r="P73" i="2"/>
  <c r="M73" i="2"/>
  <c r="N73" i="2" s="1"/>
  <c r="G73" i="2"/>
  <c r="P72" i="2"/>
  <c r="M72" i="2"/>
  <c r="N72" i="2" s="1"/>
  <c r="G72" i="2"/>
  <c r="P71" i="2"/>
  <c r="M71" i="2"/>
  <c r="O71" i="2" s="1"/>
  <c r="G71" i="2"/>
  <c r="P94" i="2"/>
  <c r="M94" i="2"/>
  <c r="O94" i="2" s="1"/>
  <c r="G94" i="2"/>
  <c r="P93" i="2"/>
  <c r="M93" i="2"/>
  <c r="N93" i="2" s="1"/>
  <c r="G93" i="2"/>
  <c r="P92" i="2"/>
  <c r="M92" i="2"/>
  <c r="O92" i="2" s="1"/>
  <c r="G92" i="2"/>
  <c r="P91" i="2"/>
  <c r="M91" i="2"/>
  <c r="O91" i="2" s="1"/>
  <c r="G91" i="2"/>
  <c r="P90" i="2"/>
  <c r="M90" i="2"/>
  <c r="O90" i="2" s="1"/>
  <c r="G90" i="2"/>
  <c r="P89" i="2"/>
  <c r="M89" i="2"/>
  <c r="N89" i="2" s="1"/>
  <c r="G89" i="2"/>
  <c r="P88" i="2"/>
  <c r="M88" i="2"/>
  <c r="O88" i="2" s="1"/>
  <c r="G88" i="2"/>
  <c r="P87" i="2"/>
  <c r="M87" i="2"/>
  <c r="O87" i="2" s="1"/>
  <c r="G87" i="2"/>
  <c r="P98" i="2"/>
  <c r="M98" i="2"/>
  <c r="O98" i="2" s="1"/>
  <c r="G98" i="2"/>
  <c r="P97" i="2"/>
  <c r="M97" i="2"/>
  <c r="O97" i="2" s="1"/>
  <c r="G97" i="2"/>
  <c r="P96" i="2"/>
  <c r="M96" i="2"/>
  <c r="O96" i="2" s="1"/>
  <c r="G96" i="2"/>
  <c r="P95" i="2"/>
  <c r="M95" i="2"/>
  <c r="O95" i="2" s="1"/>
  <c r="G95" i="2"/>
  <c r="I13" i="2" l="1" a="1"/>
  <c r="I13" i="2" s="1"/>
  <c r="I15" i="2" a="1"/>
  <c r="I15" i="2" s="1"/>
  <c r="I34" i="2" a="1"/>
  <c r="I34" i="2" s="1"/>
  <c r="S34" i="2" s="1"/>
  <c r="I40" i="2" a="1"/>
  <c r="I40" i="2" s="1"/>
  <c r="S40" i="2" s="1"/>
  <c r="I47" i="2" a="1"/>
  <c r="I47" i="2" s="1"/>
  <c r="S47" i="2" s="1"/>
  <c r="I53" i="2" a="1"/>
  <c r="I53" i="2" s="1"/>
  <c r="I66" i="2" a="1"/>
  <c r="I66" i="2" s="1"/>
  <c r="S66" i="2" s="1"/>
  <c r="I72" i="2" a="1"/>
  <c r="I72" i="2" s="1"/>
  <c r="I79" i="2" a="1"/>
  <c r="I79" i="2" s="1"/>
  <c r="I85" i="2" a="1"/>
  <c r="I85" i="2" s="1"/>
  <c r="I92" i="2" a="1"/>
  <c r="I92" i="2" s="1"/>
  <c r="I100" i="2" a="1"/>
  <c r="I100" i="2" s="1"/>
  <c r="S100" i="2" s="1"/>
  <c r="I35" i="2" a="1"/>
  <c r="I35" i="2" s="1"/>
  <c r="S35" i="2" s="1"/>
  <c r="I41" i="2" a="1"/>
  <c r="I41" i="2" s="1"/>
  <c r="S41" i="2" s="1"/>
  <c r="I54" i="2" a="1"/>
  <c r="I54" i="2" s="1"/>
  <c r="I60" i="2" a="1"/>
  <c r="I60" i="2" s="1"/>
  <c r="I67" i="2" a="1"/>
  <c r="I67" i="2" s="1"/>
  <c r="I73" i="2" a="1"/>
  <c r="I73" i="2" s="1"/>
  <c r="S73" i="2" s="1"/>
  <c r="I86" i="2" a="1"/>
  <c r="I86" i="2" s="1"/>
  <c r="I93" i="2" a="1"/>
  <c r="I93" i="2" s="1"/>
  <c r="S93" i="2" s="1"/>
  <c r="I101" i="2" a="1"/>
  <c r="I101" i="2" s="1"/>
  <c r="I102" i="2" a="1"/>
  <c r="I102" i="2" s="1"/>
  <c r="I65" i="2" a="1"/>
  <c r="I65" i="2" s="1"/>
  <c r="S65" i="2" s="1"/>
  <c r="I9" i="2" a="1"/>
  <c r="I9" i="2" s="1"/>
  <c r="I42" i="2" a="1"/>
  <c r="I42" i="2" s="1"/>
  <c r="S42" i="2" s="1"/>
  <c r="I48" i="2" a="1"/>
  <c r="I48" i="2" s="1"/>
  <c r="I55" i="2" a="1"/>
  <c r="I55" i="2" s="1"/>
  <c r="I61" i="2" a="1"/>
  <c r="I61" i="2" s="1"/>
  <c r="S61" i="2" s="1"/>
  <c r="I74" i="2" a="1"/>
  <c r="I74" i="2" s="1"/>
  <c r="S74" i="2" s="1"/>
  <c r="I80" i="2" a="1"/>
  <c r="I80" i="2" s="1"/>
  <c r="I87" i="2" a="1"/>
  <c r="I87" i="2" s="1"/>
  <c r="S87" i="2" s="1"/>
  <c r="I94" i="2" a="1"/>
  <c r="I94" i="2" s="1"/>
  <c r="I59" i="2" a="1"/>
  <c r="I59" i="2" s="1"/>
  <c r="S59" i="2" s="1"/>
  <c r="I99" i="2" a="1"/>
  <c r="I99" i="2" s="1"/>
  <c r="S99" i="2" s="1"/>
  <c r="I10" i="2" a="1"/>
  <c r="I10" i="2" s="1"/>
  <c r="I36" i="2" a="1"/>
  <c r="I36" i="2" s="1"/>
  <c r="S36" i="2" s="1"/>
  <c r="I43" i="2" a="1"/>
  <c r="I43" i="2" s="1"/>
  <c r="S43" i="2" s="1"/>
  <c r="I49" i="2" a="1"/>
  <c r="I49" i="2" s="1"/>
  <c r="S49" i="2" s="1"/>
  <c r="I62" i="2" a="1"/>
  <c r="I62" i="2" s="1"/>
  <c r="I68" i="2" a="1"/>
  <c r="I68" i="2" s="1"/>
  <c r="I75" i="2" a="1"/>
  <c r="I75" i="2" s="1"/>
  <c r="I81" i="2" a="1"/>
  <c r="I81" i="2" s="1"/>
  <c r="S81" i="2" s="1"/>
  <c r="I95" i="2" a="1"/>
  <c r="I95" i="2" s="1"/>
  <c r="I103" i="2" a="1"/>
  <c r="I103" i="2" s="1"/>
  <c r="S103" i="2" s="1"/>
  <c r="I52" i="2" a="1"/>
  <c r="I52" i="2" s="1"/>
  <c r="S52" i="2" s="1"/>
  <c r="I11" i="2" a="1"/>
  <c r="I11" i="2" s="1"/>
  <c r="I31" i="2" a="1"/>
  <c r="I31" i="2" s="1"/>
  <c r="I37" i="2" a="1"/>
  <c r="I37" i="2" s="1"/>
  <c r="I50" i="2" a="1"/>
  <c r="I50" i="2" s="1"/>
  <c r="S50" i="2" s="1"/>
  <c r="I56" i="2" a="1"/>
  <c r="I56" i="2" s="1"/>
  <c r="I63" i="2" a="1"/>
  <c r="I63" i="2" s="1"/>
  <c r="S63" i="2" s="1"/>
  <c r="I69" i="2" a="1"/>
  <c r="I69" i="2" s="1"/>
  <c r="S69" i="2" s="1"/>
  <c r="I82" i="2" a="1"/>
  <c r="I82" i="2" s="1"/>
  <c r="S82" i="2" s="1"/>
  <c r="I88" i="2" a="1"/>
  <c r="I88" i="2" s="1"/>
  <c r="I96" i="2" a="1"/>
  <c r="I96" i="2" s="1"/>
  <c r="I33" i="2" a="1"/>
  <c r="I33" i="2" s="1"/>
  <c r="S33" i="2" s="1"/>
  <c r="I91" i="2" a="1"/>
  <c r="I91" i="2" s="1"/>
  <c r="S91" i="2" s="1"/>
  <c r="I38" i="2" a="1"/>
  <c r="I38" i="2" s="1"/>
  <c r="I44" i="2" a="1"/>
  <c r="I44" i="2" s="1"/>
  <c r="S44" i="2" s="1"/>
  <c r="I51" i="2" a="1"/>
  <c r="I51" i="2" s="1"/>
  <c r="S51" i="2" s="1"/>
  <c r="I57" i="2" a="1"/>
  <c r="I57" i="2" s="1"/>
  <c r="S57" i="2" s="1"/>
  <c r="I70" i="2" a="1"/>
  <c r="I70" i="2" s="1"/>
  <c r="I76" i="2" a="1"/>
  <c r="I76" i="2" s="1"/>
  <c r="I83" i="2" a="1"/>
  <c r="I83" i="2" s="1"/>
  <c r="S83" i="2" s="1"/>
  <c r="I89" i="2" a="1"/>
  <c r="I89" i="2" s="1"/>
  <c r="S89" i="2" s="1"/>
  <c r="I97" i="2" a="1"/>
  <c r="I97" i="2" s="1"/>
  <c r="S97" i="2" s="1"/>
  <c r="I14" i="2" a="1"/>
  <c r="I14" i="2" s="1"/>
  <c r="S14" i="2" s="1"/>
  <c r="I46" i="2" a="1"/>
  <c r="I46" i="2" s="1"/>
  <c r="S46" i="2" s="1"/>
  <c r="I84" i="2" a="1"/>
  <c r="I84" i="2" s="1"/>
  <c r="I12" i="2" a="1"/>
  <c r="I12" i="2" s="1"/>
  <c r="I32" i="2" a="1"/>
  <c r="I32" i="2" s="1"/>
  <c r="S32" i="2" s="1"/>
  <c r="I39" i="2" a="1"/>
  <c r="I39" i="2" s="1"/>
  <c r="S39" i="2" s="1"/>
  <c r="I45" i="2" a="1"/>
  <c r="I45" i="2" s="1"/>
  <c r="S45" i="2" s="1"/>
  <c r="I58" i="2" a="1"/>
  <c r="I58" i="2" s="1"/>
  <c r="S58" i="2" s="1"/>
  <c r="I64" i="2" a="1"/>
  <c r="I64" i="2" s="1"/>
  <c r="S64" i="2" s="1"/>
  <c r="I71" i="2" a="1"/>
  <c r="I71" i="2" s="1"/>
  <c r="S71" i="2" s="1"/>
  <c r="I77" i="2" a="1"/>
  <c r="I77" i="2" s="1"/>
  <c r="I90" i="2" a="1"/>
  <c r="I90" i="2" s="1"/>
  <c r="S90" i="2" s="1"/>
  <c r="I98" i="2" a="1"/>
  <c r="I98" i="2" s="1"/>
  <c r="S98" i="2" s="1"/>
  <c r="I78" i="2" a="1"/>
  <c r="I78" i="2" s="1"/>
  <c r="S96" i="2"/>
  <c r="S88" i="2"/>
  <c r="S80" i="2"/>
  <c r="S72" i="2"/>
  <c r="S56" i="2"/>
  <c r="S48" i="2"/>
  <c r="S67" i="2"/>
  <c r="S95" i="2"/>
  <c r="S79" i="2"/>
  <c r="S55" i="2"/>
  <c r="S31" i="2"/>
  <c r="S102" i="2"/>
  <c r="S94" i="2"/>
  <c r="S86" i="2"/>
  <c r="S78" i="2"/>
  <c r="S70" i="2"/>
  <c r="S62" i="2"/>
  <c r="S54" i="2"/>
  <c r="S38" i="2"/>
  <c r="S75" i="2"/>
  <c r="S101" i="2"/>
  <c r="S85" i="2"/>
  <c r="S77" i="2"/>
  <c r="S53" i="2"/>
  <c r="S37" i="2"/>
  <c r="S10" i="2"/>
  <c r="S92" i="2"/>
  <c r="S84" i="2"/>
  <c r="S76" i="2"/>
  <c r="S68" i="2"/>
  <c r="S60" i="2"/>
  <c r="T14" i="2"/>
  <c r="T59" i="2"/>
  <c r="T51" i="2"/>
  <c r="T43" i="2"/>
  <c r="T35" i="2"/>
  <c r="T98" i="2"/>
  <c r="T90" i="2"/>
  <c r="T82" i="2"/>
  <c r="T74" i="2"/>
  <c r="T66" i="2"/>
  <c r="T58" i="2"/>
  <c r="T50" i="2"/>
  <c r="T42" i="2"/>
  <c r="T34" i="2"/>
  <c r="T99" i="2"/>
  <c r="T89" i="2"/>
  <c r="T65" i="2"/>
  <c r="T33" i="2"/>
  <c r="T96" i="2"/>
  <c r="T88" i="2"/>
  <c r="T80" i="2"/>
  <c r="T72" i="2"/>
  <c r="T64" i="2"/>
  <c r="T56" i="2"/>
  <c r="T48" i="2"/>
  <c r="T40" i="2"/>
  <c r="T32" i="2"/>
  <c r="T67" i="2"/>
  <c r="T81" i="2"/>
  <c r="T41" i="2"/>
  <c r="T103" i="2"/>
  <c r="T95" i="2"/>
  <c r="T87" i="2"/>
  <c r="T79" i="2"/>
  <c r="T71" i="2"/>
  <c r="T63" i="2"/>
  <c r="T55" i="2"/>
  <c r="T47" i="2"/>
  <c r="T39" i="2"/>
  <c r="T31" i="2"/>
  <c r="T75" i="2"/>
  <c r="T57" i="2"/>
  <c r="T102" i="2"/>
  <c r="T94" i="2"/>
  <c r="T86" i="2"/>
  <c r="T78" i="2"/>
  <c r="T70" i="2"/>
  <c r="T62" i="2"/>
  <c r="T54" i="2"/>
  <c r="T46" i="2"/>
  <c r="T38" i="2"/>
  <c r="T91" i="2"/>
  <c r="T97" i="2"/>
  <c r="T73" i="2"/>
  <c r="T49" i="2"/>
  <c r="T101" i="2"/>
  <c r="T93" i="2"/>
  <c r="T85" i="2"/>
  <c r="T77" i="2"/>
  <c r="T69" i="2"/>
  <c r="T61" i="2"/>
  <c r="T53" i="2"/>
  <c r="T45" i="2"/>
  <c r="T37" i="2"/>
  <c r="T83" i="2"/>
  <c r="T10" i="2"/>
  <c r="T100" i="2"/>
  <c r="T92" i="2"/>
  <c r="T84" i="2"/>
  <c r="T76" i="2"/>
  <c r="T68" i="2"/>
  <c r="T60" i="2"/>
  <c r="T52" i="2"/>
  <c r="T44" i="2"/>
  <c r="T36" i="2"/>
  <c r="H12" i="2"/>
  <c r="S12" i="2" s="1"/>
  <c r="H15" i="2"/>
  <c r="S15" i="2" s="1"/>
  <c r="H11" i="2"/>
  <c r="S11" i="2" s="1"/>
  <c r="H13" i="2"/>
  <c r="S13" i="2" s="1"/>
  <c r="H9" i="2"/>
  <c r="S9" i="2" s="1"/>
  <c r="E8" i="11"/>
  <c r="F8" i="11" s="1"/>
  <c r="E7" i="11"/>
  <c r="F7" i="11" s="1"/>
  <c r="O16" i="2"/>
  <c r="J14" i="11"/>
  <c r="J16" i="11"/>
  <c r="J15" i="11"/>
  <c r="E16" i="11"/>
  <c r="F16" i="11" s="1"/>
  <c r="E15" i="11"/>
  <c r="F15" i="11" s="1"/>
  <c r="E14" i="11"/>
  <c r="F14" i="11" s="1"/>
  <c r="E13" i="11"/>
  <c r="F13" i="11" s="1"/>
  <c r="E12" i="11"/>
  <c r="F12" i="11" s="1"/>
  <c r="E11" i="11"/>
  <c r="F11" i="11" s="1"/>
  <c r="E9" i="11"/>
  <c r="F9" i="11" s="1"/>
  <c r="L6" i="11" a="1"/>
  <c r="L6" i="11" s="1"/>
  <c r="E5" i="11"/>
  <c r="F5" i="11" s="1"/>
  <c r="O9" i="2"/>
  <c r="O11" i="2"/>
  <c r="O12" i="2"/>
  <c r="O13" i="2"/>
  <c r="O15" i="2"/>
  <c r="L11" i="11" a="1"/>
  <c r="L11" i="11" s="1"/>
  <c r="M8" i="11" a="1"/>
  <c r="M8" i="11" s="1"/>
  <c r="L8" i="11" a="1"/>
  <c r="L8" i="11" s="1"/>
  <c r="M15" i="11" a="1"/>
  <c r="M15" i="11" s="1"/>
  <c r="M13" i="11" a="1"/>
  <c r="M13" i="11" s="1"/>
  <c r="M5" i="11" a="1"/>
  <c r="M5" i="11" s="1"/>
  <c r="M6" i="11" a="1"/>
  <c r="M6" i="11" s="1"/>
  <c r="M10" i="11" a="1"/>
  <c r="M10" i="11" s="1"/>
  <c r="L9" i="11" a="1"/>
  <c r="L9" i="11" s="1"/>
  <c r="M16" i="11" a="1"/>
  <c r="M16" i="11" s="1"/>
  <c r="M9" i="11" a="1"/>
  <c r="M9" i="11" s="1"/>
  <c r="L10" i="11" a="1"/>
  <c r="L10" i="11" s="1"/>
  <c r="M14" i="11" a="1"/>
  <c r="M14" i="11" s="1"/>
  <c r="M7" i="11" a="1"/>
  <c r="M7" i="11" s="1"/>
  <c r="L12" i="11" a="1"/>
  <c r="L12" i="11" s="1"/>
  <c r="L5" i="11" a="1"/>
  <c r="L5" i="11" s="1"/>
  <c r="L13" i="11" a="1"/>
  <c r="L13" i="11" s="1"/>
  <c r="M12" i="11" a="1"/>
  <c r="M12" i="11" s="1"/>
  <c r="L14" i="11" a="1"/>
  <c r="L14" i="11" s="1"/>
  <c r="M11" i="11" a="1"/>
  <c r="M11" i="11" s="1"/>
  <c r="L7" i="11" a="1"/>
  <c r="L7" i="11" s="1"/>
  <c r="L15" i="11" a="1"/>
  <c r="L15" i="11" s="1"/>
  <c r="L16" i="11" a="1"/>
  <c r="L16" i="11" s="1"/>
  <c r="K2" i="11"/>
  <c r="E6" i="11"/>
  <c r="F6" i="11" s="1"/>
  <c r="D5" i="10"/>
  <c r="G5" i="11" s="1"/>
  <c r="H5" i="11" s="1"/>
  <c r="E10" i="11"/>
  <c r="F10" i="11" s="1"/>
  <c r="O53" i="2"/>
  <c r="N42" i="2"/>
  <c r="O76" i="2"/>
  <c r="O69" i="2"/>
  <c r="O58" i="2"/>
  <c r="O45" i="2"/>
  <c r="N66" i="2"/>
  <c r="O86" i="2"/>
  <c r="N82" i="2"/>
  <c r="O41" i="2"/>
  <c r="N46" i="2"/>
  <c r="O84" i="2"/>
  <c r="N50" i="2"/>
  <c r="O61" i="2"/>
  <c r="O70" i="2"/>
  <c r="N74" i="2"/>
  <c r="O57" i="2"/>
  <c r="N62" i="2"/>
  <c r="N97" i="2"/>
  <c r="O78" i="2"/>
  <c r="O49" i="2"/>
  <c r="N54" i="2"/>
  <c r="O65" i="2"/>
  <c r="N94" i="2"/>
  <c r="O80" i="2"/>
  <c r="N40" i="2"/>
  <c r="N44" i="2"/>
  <c r="N48" i="2"/>
  <c r="N52" i="2"/>
  <c r="N56" i="2"/>
  <c r="N60" i="2"/>
  <c r="N64" i="2"/>
  <c r="N68" i="2"/>
  <c r="N95" i="2"/>
  <c r="O72" i="2"/>
  <c r="N39" i="2"/>
  <c r="N43" i="2"/>
  <c r="N47" i="2"/>
  <c r="N51" i="2"/>
  <c r="N55" i="2"/>
  <c r="N59" i="2"/>
  <c r="N63" i="2"/>
  <c r="N67" i="2"/>
  <c r="O73" i="2"/>
  <c r="O77" i="2"/>
  <c r="O81" i="2"/>
  <c r="O85" i="2"/>
  <c r="N98" i="2"/>
  <c r="N90" i="2"/>
  <c r="N71" i="2"/>
  <c r="N75" i="2"/>
  <c r="N79" i="2"/>
  <c r="N83" i="2"/>
  <c r="N96" i="2"/>
  <c r="O93" i="2"/>
  <c r="N88" i="2"/>
  <c r="N92" i="2"/>
  <c r="O89" i="2"/>
  <c r="N87" i="2"/>
  <c r="N91" i="2"/>
  <c r="T11" i="2" l="1"/>
  <c r="T15" i="2"/>
  <c r="T9" i="2"/>
  <c r="T12" i="2"/>
  <c r="T13" i="2"/>
  <c r="L18" i="11"/>
  <c r="G12" i="11"/>
  <c r="H12" i="11" s="1"/>
  <c r="G11" i="11"/>
  <c r="H11" i="11" s="1"/>
  <c r="G15" i="11"/>
  <c r="H15" i="11" s="1"/>
  <c r="G8" i="11"/>
  <c r="H8" i="11" s="1"/>
  <c r="G16" i="11"/>
  <c r="H16" i="11" s="1"/>
  <c r="G13" i="11"/>
  <c r="H13" i="11" s="1"/>
  <c r="G7" i="11"/>
  <c r="H7" i="11" s="1"/>
  <c r="G9" i="11"/>
  <c r="H9" i="11" s="1"/>
  <c r="G10" i="11"/>
  <c r="H10" i="11" s="1"/>
  <c r="G14" i="11"/>
  <c r="H14" i="11" s="1"/>
  <c r="G6" i="11"/>
  <c r="H6" i="11" s="1"/>
  <c r="M18" i="11"/>
  <c r="N18" i="11" s="1"/>
  <c r="E18" i="11"/>
  <c r="F18" i="11"/>
  <c r="A11" i="8"/>
  <c r="A10" i="8"/>
  <c r="A9" i="8"/>
  <c r="A8" i="8"/>
  <c r="A7" i="8"/>
  <c r="A6" i="8"/>
  <c r="A5" i="8"/>
  <c r="A4" i="8"/>
  <c r="A3" i="8"/>
  <c r="A5" i="7"/>
  <c r="A6" i="7"/>
  <c r="A7" i="7"/>
  <c r="A8" i="7"/>
  <c r="A9" i="7"/>
  <c r="A10" i="7"/>
  <c r="A11" i="7"/>
  <c r="A4" i="7"/>
  <c r="P100" i="2"/>
  <c r="M100" i="2"/>
  <c r="O100" i="2" s="1"/>
  <c r="G100" i="2"/>
  <c r="P99" i="2"/>
  <c r="M99" i="2"/>
  <c r="N99" i="2" s="1"/>
  <c r="G99" i="2"/>
  <c r="P38" i="2"/>
  <c r="M38" i="2"/>
  <c r="N38" i="2" s="1"/>
  <c r="G38" i="2"/>
  <c r="P37" i="2"/>
  <c r="M37" i="2"/>
  <c r="O37" i="2" s="1"/>
  <c r="G37" i="2"/>
  <c r="P36" i="2"/>
  <c r="M36" i="2"/>
  <c r="O36" i="2" s="1"/>
  <c r="G36" i="2"/>
  <c r="P17" i="2"/>
  <c r="P18" i="2"/>
  <c r="P19" i="2"/>
  <c r="P20" i="2"/>
  <c r="P21" i="2"/>
  <c r="P22" i="2"/>
  <c r="P23" i="2"/>
  <c r="P24" i="2"/>
  <c r="P25" i="2"/>
  <c r="P26" i="2"/>
  <c r="P27" i="2"/>
  <c r="P28" i="2"/>
  <c r="P29" i="2"/>
  <c r="P30" i="2"/>
  <c r="P31" i="2"/>
  <c r="P32" i="2"/>
  <c r="P33" i="2"/>
  <c r="P34" i="2"/>
  <c r="P35" i="2"/>
  <c r="P101" i="2"/>
  <c r="P102" i="2"/>
  <c r="P103" i="2"/>
  <c r="P8" i="2"/>
  <c r="A3" i="7"/>
  <c r="M17" i="2"/>
  <c r="N17" i="2" s="1"/>
  <c r="M18" i="2"/>
  <c r="N18" i="2" s="1"/>
  <c r="M19" i="2"/>
  <c r="N19" i="2" s="1"/>
  <c r="M20" i="2"/>
  <c r="N20" i="2" s="1"/>
  <c r="M21" i="2"/>
  <c r="N21" i="2" s="1"/>
  <c r="M22" i="2"/>
  <c r="N22" i="2" s="1"/>
  <c r="M23" i="2"/>
  <c r="N23" i="2" s="1"/>
  <c r="M24" i="2"/>
  <c r="N24" i="2" s="1"/>
  <c r="M25" i="2"/>
  <c r="N25" i="2" s="1"/>
  <c r="M26" i="2"/>
  <c r="N26" i="2" s="1"/>
  <c r="M27" i="2"/>
  <c r="N27" i="2" s="1"/>
  <c r="M28" i="2"/>
  <c r="N28" i="2" s="1"/>
  <c r="M29" i="2"/>
  <c r="N29" i="2" s="1"/>
  <c r="M30" i="2"/>
  <c r="N30" i="2" s="1"/>
  <c r="M31" i="2"/>
  <c r="N31" i="2" s="1"/>
  <c r="M32" i="2"/>
  <c r="N32" i="2" s="1"/>
  <c r="M33" i="2"/>
  <c r="N33" i="2" s="1"/>
  <c r="M34" i="2"/>
  <c r="N34" i="2" s="1"/>
  <c r="M35" i="2"/>
  <c r="N35" i="2" s="1"/>
  <c r="M101" i="2"/>
  <c r="N101" i="2" s="1"/>
  <c r="M102" i="2"/>
  <c r="N102" i="2" s="1"/>
  <c r="M103" i="2"/>
  <c r="O103" i="2" s="1"/>
  <c r="M8" i="2"/>
  <c r="N8" i="2" s="1"/>
  <c r="G17" i="2"/>
  <c r="G18" i="2"/>
  <c r="G19" i="2"/>
  <c r="G20" i="2"/>
  <c r="G21" i="2"/>
  <c r="G22" i="2"/>
  <c r="G23" i="2"/>
  <c r="G24" i="2"/>
  <c r="G25" i="2"/>
  <c r="G26" i="2"/>
  <c r="G27" i="2"/>
  <c r="G28" i="2"/>
  <c r="G29" i="2"/>
  <c r="G30" i="2"/>
  <c r="I30" i="2" s="1" a="1"/>
  <c r="I30" i="2" s="1"/>
  <c r="G31" i="2"/>
  <c r="G32" i="2"/>
  <c r="G33" i="2"/>
  <c r="G34" i="2"/>
  <c r="G35" i="2"/>
  <c r="G101" i="2"/>
  <c r="G102" i="2"/>
  <c r="G103" i="2"/>
  <c r="G8" i="2"/>
  <c r="I8" i="2" s="1" a="1"/>
  <c r="I8" i="2" s="1"/>
  <c r="I29" i="2" l="1" a="1"/>
  <c r="I29" i="2" s="1"/>
  <c r="I28" i="2" a="1"/>
  <c r="I28" i="2" s="1"/>
  <c r="I24" i="2" a="1"/>
  <c r="I24" i="2" s="1"/>
  <c r="I25" i="2" a="1"/>
  <c r="I25" i="2" s="1"/>
  <c r="I19" i="2" a="1"/>
  <c r="I19" i="2" s="1"/>
  <c r="I20" i="2" a="1"/>
  <c r="I20" i="2" s="1"/>
  <c r="I21" i="2" a="1"/>
  <c r="I21" i="2" s="1"/>
  <c r="I22" i="2" a="1"/>
  <c r="I22" i="2" s="1"/>
  <c r="I23" i="2" a="1"/>
  <c r="I23" i="2" s="1"/>
  <c r="I26" i="2" a="1"/>
  <c r="I26" i="2" s="1"/>
  <c r="I27" i="2" a="1"/>
  <c r="I27" i="2" s="1"/>
  <c r="I17" i="2" a="1"/>
  <c r="I17" i="2" s="1"/>
  <c r="I16" i="2" a="1"/>
  <c r="I16" i="2" s="1"/>
  <c r="I18" i="2" a="1"/>
  <c r="I18" i="2" s="1"/>
  <c r="H29" i="2"/>
  <c r="H28" i="2"/>
  <c r="S28" i="2" s="1"/>
  <c r="H21" i="2"/>
  <c r="S21" i="2" s="1"/>
  <c r="H22" i="2"/>
  <c r="H23" i="2"/>
  <c r="S23" i="2" s="1"/>
  <c r="H20" i="2"/>
  <c r="S20" i="2" s="1"/>
  <c r="H19" i="2"/>
  <c r="S19" i="2" s="1"/>
  <c r="H24" i="2"/>
  <c r="H25" i="2"/>
  <c r="H8" i="2"/>
  <c r="S8" i="2" s="1"/>
  <c r="H26" i="2"/>
  <c r="S26" i="2" s="1"/>
  <c r="H27" i="2"/>
  <c r="H30" i="2"/>
  <c r="S30" i="2" s="1"/>
  <c r="H18" i="2"/>
  <c r="S18" i="2" s="1"/>
  <c r="H16" i="2"/>
  <c r="S16" i="2" s="1"/>
  <c r="H17" i="2"/>
  <c r="H18" i="11"/>
  <c r="G18" i="11"/>
  <c r="G105" i="2"/>
  <c r="G8" i="8"/>
  <c r="O102" i="2"/>
  <c r="C11" i="8"/>
  <c r="C4" i="8"/>
  <c r="G104" i="2"/>
  <c r="L7" i="8"/>
  <c r="E8" i="8"/>
  <c r="D7" i="8"/>
  <c r="M6" i="8"/>
  <c r="F6" i="8"/>
  <c r="I11" i="8"/>
  <c r="E6" i="8"/>
  <c r="L11" i="8"/>
  <c r="B5" i="8"/>
  <c r="D11" i="8"/>
  <c r="K7" i="8"/>
  <c r="L5" i="8"/>
  <c r="K11" i="8"/>
  <c r="F8" i="8"/>
  <c r="I7" i="8"/>
  <c r="K5" i="8"/>
  <c r="O99" i="2"/>
  <c r="G6" i="8"/>
  <c r="B9" i="8"/>
  <c r="H10" i="8"/>
  <c r="I5" i="8"/>
  <c r="F10" i="8"/>
  <c r="M8" i="8"/>
  <c r="D5" i="8"/>
  <c r="B11" i="8"/>
  <c r="C5" i="8"/>
  <c r="M10" i="8"/>
  <c r="I9" i="8"/>
  <c r="I4" i="8"/>
  <c r="H11" i="8"/>
  <c r="L10" i="8"/>
  <c r="D10" i="8"/>
  <c r="L8" i="8"/>
  <c r="D8" i="8"/>
  <c r="L6" i="8"/>
  <c r="D6" i="8"/>
  <c r="D9" i="8"/>
  <c r="G10" i="8"/>
  <c r="C9" i="8"/>
  <c r="G11" i="8"/>
  <c r="K10" i="8"/>
  <c r="C10" i="8"/>
  <c r="G9" i="8"/>
  <c r="K8" i="8"/>
  <c r="C8" i="8"/>
  <c r="G7" i="8"/>
  <c r="K6" i="8"/>
  <c r="C6" i="8"/>
  <c r="G5" i="8"/>
  <c r="L9" i="8"/>
  <c r="G4" i="8"/>
  <c r="F11" i="8"/>
  <c r="J10" i="8"/>
  <c r="B10" i="8"/>
  <c r="F9" i="8"/>
  <c r="J8" i="8"/>
  <c r="B8" i="8"/>
  <c r="F7" i="8"/>
  <c r="B6" i="8"/>
  <c r="F5" i="8"/>
  <c r="K9" i="8"/>
  <c r="E10" i="8"/>
  <c r="M11" i="8"/>
  <c r="E11" i="8"/>
  <c r="I10" i="8"/>
  <c r="M9" i="8"/>
  <c r="E9" i="8"/>
  <c r="I8" i="8"/>
  <c r="M7" i="8"/>
  <c r="E7" i="8"/>
  <c r="I6" i="8"/>
  <c r="M5" i="8"/>
  <c r="E5" i="8"/>
  <c r="J11" i="8"/>
  <c r="J5" i="8"/>
  <c r="F4" i="8"/>
  <c r="M4" i="8"/>
  <c r="E4" i="8"/>
  <c r="L4" i="8"/>
  <c r="D4" i="8"/>
  <c r="K4" i="8"/>
  <c r="B4" i="8"/>
  <c r="O38" i="2"/>
  <c r="N37" i="2"/>
  <c r="N36" i="2"/>
  <c r="N100" i="2"/>
  <c r="O29" i="2"/>
  <c r="I11" i="7"/>
  <c r="I5" i="7"/>
  <c r="B5" i="7"/>
  <c r="O34" i="2"/>
  <c r="M10" i="7"/>
  <c r="O26" i="2"/>
  <c r="E8" i="7"/>
  <c r="H11" i="7"/>
  <c r="L10" i="7"/>
  <c r="D10" i="7"/>
  <c r="H9" i="7"/>
  <c r="L8" i="7"/>
  <c r="D8" i="7"/>
  <c r="H7" i="7"/>
  <c r="L6" i="7"/>
  <c r="D6" i="7"/>
  <c r="H5" i="7"/>
  <c r="E10" i="7"/>
  <c r="I9" i="7"/>
  <c r="G11" i="7"/>
  <c r="K10" i="7"/>
  <c r="C10" i="7"/>
  <c r="G9" i="7"/>
  <c r="K8" i="7"/>
  <c r="C8" i="7"/>
  <c r="G7" i="7"/>
  <c r="K6" i="7"/>
  <c r="C6" i="7"/>
  <c r="G5" i="7"/>
  <c r="M6" i="7"/>
  <c r="F11" i="7"/>
  <c r="J10" i="7"/>
  <c r="B10" i="7"/>
  <c r="F9" i="7"/>
  <c r="J8" i="7"/>
  <c r="B8" i="7"/>
  <c r="F7" i="7"/>
  <c r="J6" i="7"/>
  <c r="B6" i="7"/>
  <c r="F5" i="7"/>
  <c r="I7" i="7"/>
  <c r="N103" i="2"/>
  <c r="M11" i="7"/>
  <c r="E11" i="7"/>
  <c r="I10" i="7"/>
  <c r="M9" i="7"/>
  <c r="E9" i="7"/>
  <c r="I8" i="7"/>
  <c r="M7" i="7"/>
  <c r="E7" i="7"/>
  <c r="I6" i="7"/>
  <c r="M5" i="7"/>
  <c r="E5" i="7"/>
  <c r="M8" i="7"/>
  <c r="L11" i="7"/>
  <c r="D11" i="7"/>
  <c r="H10" i="7"/>
  <c r="L9" i="7"/>
  <c r="D9" i="7"/>
  <c r="H8" i="7"/>
  <c r="L7" i="7"/>
  <c r="D7" i="7"/>
  <c r="H6" i="7"/>
  <c r="L5" i="7"/>
  <c r="D5" i="7"/>
  <c r="E6" i="7"/>
  <c r="K11" i="7"/>
  <c r="C11" i="7"/>
  <c r="G10" i="7"/>
  <c r="K9" i="7"/>
  <c r="C9" i="7"/>
  <c r="G8" i="7"/>
  <c r="K7" i="7"/>
  <c r="C7" i="7"/>
  <c r="G6" i="7"/>
  <c r="K5" i="7"/>
  <c r="C5" i="7"/>
  <c r="J11" i="7"/>
  <c r="B11" i="7"/>
  <c r="F10" i="7"/>
  <c r="J9" i="7"/>
  <c r="B9" i="7"/>
  <c r="F8" i="7"/>
  <c r="J7" i="7"/>
  <c r="B7" i="7"/>
  <c r="F6" i="7"/>
  <c r="J5" i="7"/>
  <c r="O27" i="2"/>
  <c r="O19" i="2"/>
  <c r="H4" i="8" s="1"/>
  <c r="O25" i="2"/>
  <c r="O35" i="2"/>
  <c r="O17" i="2"/>
  <c r="H6" i="8" s="1"/>
  <c r="O33" i="2"/>
  <c r="O30" i="2"/>
  <c r="J6" i="8" s="1"/>
  <c r="O32" i="2"/>
  <c r="O24" i="2"/>
  <c r="O31" i="2"/>
  <c r="O101" i="2"/>
  <c r="O28" i="2"/>
  <c r="O20" i="2"/>
  <c r="H5" i="8" s="1"/>
  <c r="O8" i="2"/>
  <c r="B7" i="8" s="1"/>
  <c r="O23" i="2"/>
  <c r="O22" i="2"/>
  <c r="O21" i="2"/>
  <c r="O18" i="2"/>
  <c r="H9" i="8" s="1"/>
  <c r="S24" i="2" l="1"/>
  <c r="S27" i="2"/>
  <c r="S25" i="2"/>
  <c r="S29" i="2"/>
  <c r="S17" i="2"/>
  <c r="S22" i="2"/>
  <c r="T18" i="2"/>
  <c r="T24" i="2"/>
  <c r="T30" i="2"/>
  <c r="T20" i="2"/>
  <c r="T27" i="2"/>
  <c r="T23" i="2"/>
  <c r="T26" i="2"/>
  <c r="T22" i="2"/>
  <c r="T8" i="2"/>
  <c r="T21" i="2"/>
  <c r="T17" i="2"/>
  <c r="T28" i="2"/>
  <c r="T19" i="2"/>
  <c r="T16" i="2"/>
  <c r="T25" i="2"/>
  <c r="T29" i="2"/>
  <c r="J9" i="8"/>
  <c r="N9" i="8" s="1"/>
  <c r="C7" i="8"/>
  <c r="C12" i="8" s="1"/>
  <c r="J7" i="8"/>
  <c r="J4" i="8"/>
  <c r="N4" i="8" s="1"/>
  <c r="I10" i="11"/>
  <c r="J10" i="11" s="1"/>
  <c r="I13" i="11"/>
  <c r="J13" i="11" s="1"/>
  <c r="I12" i="11"/>
  <c r="J12" i="11" s="1"/>
  <c r="I7" i="11"/>
  <c r="J7" i="11" s="1"/>
  <c r="I15" i="11"/>
  <c r="I11" i="11"/>
  <c r="J11" i="11" s="1"/>
  <c r="I16" i="11"/>
  <c r="I14" i="11"/>
  <c r="I9" i="11"/>
  <c r="J9" i="11" s="1"/>
  <c r="I8" i="11"/>
  <c r="J8" i="11" s="1"/>
  <c r="I5" i="11"/>
  <c r="J5" i="11" s="1"/>
  <c r="I6" i="11"/>
  <c r="J6" i="11" s="1"/>
  <c r="H8" i="8"/>
  <c r="N8" i="8" s="1"/>
  <c r="H7" i="8"/>
  <c r="O105" i="2"/>
  <c r="O104" i="2"/>
  <c r="K12" i="8"/>
  <c r="M12" i="8"/>
  <c r="N10" i="8"/>
  <c r="E12" i="8"/>
  <c r="F12" i="8"/>
  <c r="G12" i="8"/>
  <c r="N6" i="8"/>
  <c r="B12" i="8"/>
  <c r="N11" i="8"/>
  <c r="L12" i="8"/>
  <c r="I12" i="8"/>
  <c r="D12" i="8"/>
  <c r="N5" i="8"/>
  <c r="N6" i="7"/>
  <c r="N7" i="7"/>
  <c r="N11" i="7"/>
  <c r="N5" i="7"/>
  <c r="N9" i="7"/>
  <c r="N8" i="7"/>
  <c r="N10" i="7"/>
  <c r="J12" i="8" l="1"/>
  <c r="K5" i="11"/>
  <c r="I18" i="11"/>
  <c r="H12" i="8"/>
  <c r="N7" i="8"/>
  <c r="N12" i="8" s="1"/>
  <c r="M4" i="7" l="1"/>
  <c r="M12" i="7" s="1"/>
  <c r="L4" i="7"/>
  <c r="L12" i="7" s="1"/>
  <c r="C4" i="7"/>
  <c r="C12" i="7" s="1"/>
  <c r="E4" i="7"/>
  <c r="E12" i="7" s="1"/>
  <c r="H4" i="7"/>
  <c r="H12" i="7" s="1"/>
  <c r="G4" i="7"/>
  <c r="G12" i="7" s="1"/>
  <c r="I4" i="7"/>
  <c r="I12" i="7" s="1"/>
  <c r="D4" i="7"/>
  <c r="D12" i="7" s="1"/>
  <c r="J4" i="7"/>
  <c r="J12" i="7" s="1"/>
  <c r="K4" i="7"/>
  <c r="K12" i="7" s="1"/>
  <c r="F4" i="7"/>
  <c r="F12" i="7" s="1"/>
  <c r="B4" i="7"/>
  <c r="B12" i="7" s="1"/>
  <c r="N4" i="7" l="1"/>
  <c r="N12" i="7" s="1"/>
  <c r="K6" i="11"/>
  <c r="K7" i="11" s="1"/>
  <c r="K8" i="11" s="1"/>
  <c r="K9" i="11" s="1"/>
  <c r="K10" i="11" s="1"/>
  <c r="K11" i="11" s="1"/>
  <c r="K12" i="11" s="1"/>
  <c r="K13" i="11" s="1"/>
  <c r="K14" i="11" s="1"/>
  <c r="K15" i="11" s="1"/>
  <c r="K16" i="11" s="1"/>
  <c r="K17" i="11" s="1"/>
  <c r="J18"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<sst xmlns="http://schemas.openxmlformats.org/spreadsheetml/2006/main" count="255" uniqueCount="115">
  <si>
    <t>Tätigkeit</t>
  </si>
  <si>
    <t>Ausarbeitung</t>
  </si>
  <si>
    <t>Kundentermin</t>
  </si>
  <si>
    <t>interne Abstimmung</t>
  </si>
  <si>
    <t>externe Abstimmung</t>
  </si>
  <si>
    <t>Angebotserstellung</t>
  </si>
  <si>
    <t>Projekt A</t>
  </si>
  <si>
    <t>Projekt B</t>
  </si>
  <si>
    <t>Vertrieb</t>
  </si>
  <si>
    <t>Fakturierbar</t>
  </si>
  <si>
    <t>Stundensatz</t>
  </si>
  <si>
    <t>Betrag</t>
  </si>
  <si>
    <t>Beschreibung</t>
  </si>
  <si>
    <t>Projekt</t>
  </si>
  <si>
    <t>nein</t>
  </si>
  <si>
    <t>ja</t>
  </si>
  <si>
    <t>Internes</t>
  </si>
  <si>
    <t>Tag</t>
  </si>
  <si>
    <t>Bearbeitung Anforderung XY</t>
  </si>
  <si>
    <t>mit Max</t>
  </si>
  <si>
    <t>Netzwerk</t>
  </si>
  <si>
    <t>Buchhaltung</t>
  </si>
  <si>
    <t>Fragen zu Konzept beantworten</t>
  </si>
  <si>
    <t>Telefonat abc GmbH</t>
  </si>
  <si>
    <t>Start</t>
  </si>
  <si>
    <t>Ende</t>
  </si>
  <si>
    <t>Erarbeiten Konzept</t>
  </si>
  <si>
    <t>Doku Konzeptbesprechung</t>
  </si>
  <si>
    <t>Konzeptbesprechung</t>
  </si>
  <si>
    <t>Kunde</t>
  </si>
  <si>
    <t>A GmbH</t>
  </si>
  <si>
    <t>B GmbH</t>
  </si>
  <si>
    <t>Monat</t>
  </si>
  <si>
    <t>Std. Start</t>
  </si>
  <si>
    <t>Min. Start</t>
  </si>
  <si>
    <t>Std. Ende</t>
  </si>
  <si>
    <t>Min. Ende</t>
  </si>
  <si>
    <t>Januar</t>
  </si>
  <si>
    <t>Februar</t>
  </si>
  <si>
    <t>März</t>
  </si>
  <si>
    <t>April</t>
  </si>
  <si>
    <t>Mai</t>
  </si>
  <si>
    <t>Juni</t>
  </si>
  <si>
    <t>Juli</t>
  </si>
  <si>
    <t>August</t>
  </si>
  <si>
    <t>September</t>
  </si>
  <si>
    <t>Oktober</t>
  </si>
  <si>
    <t>November</t>
  </si>
  <si>
    <t>Dezember</t>
  </si>
  <si>
    <t>Summe</t>
  </si>
  <si>
    <t>Summe:</t>
  </si>
  <si>
    <t>Teilsumme:</t>
  </si>
  <si>
    <t>Zeilenbeschriftungen</t>
  </si>
  <si>
    <t>Gesamtergebnis</t>
  </si>
  <si>
    <t>Stunden</t>
  </si>
  <si>
    <t>Summe von Stunden</t>
  </si>
  <si>
    <t>Name Bearbeiter</t>
  </si>
  <si>
    <t>Max Mustermann</t>
  </si>
  <si>
    <t>Kalenderjahr</t>
  </si>
  <si>
    <t>Zeitraum:</t>
  </si>
  <si>
    <t>Bearbeiter:</t>
  </si>
  <si>
    <t>Urlaubstage</t>
  </si>
  <si>
    <t>Grund</t>
  </si>
  <si>
    <t>Urlaub</t>
  </si>
  <si>
    <t>Kommentar</t>
  </si>
  <si>
    <t>Krank</t>
  </si>
  <si>
    <t>Datum</t>
  </si>
  <si>
    <t>Bezeichnung Feiertag</t>
  </si>
  <si>
    <t>Karfreitag</t>
  </si>
  <si>
    <t>Ostersonntag</t>
  </si>
  <si>
    <t>Ostermontag</t>
  </si>
  <si>
    <t>Pfingstsonntag</t>
  </si>
  <si>
    <t>Pfingstmontag</t>
  </si>
  <si>
    <t>Neujahr(stag)</t>
  </si>
  <si>
    <t>Heilige Drei Könige (Epiphanias), Erscheinungsfest</t>
  </si>
  <si>
    <t>Frauentag</t>
  </si>
  <si>
    <t>Erster Mai, Tag der Arbeit</t>
  </si>
  <si>
    <t>(Christi-)Himmelfahrt(stag)</t>
  </si>
  <si>
    <t>Fronleichnam(stag)</t>
  </si>
  <si>
    <t>Augsburger Hohes Friedensfest</t>
  </si>
  <si>
    <t>Mariä Himmelfahrt(stag)</t>
  </si>
  <si>
    <t>Weltkindertag</t>
  </si>
  <si>
    <t>Tag der Deutschen Einheit</t>
  </si>
  <si>
    <t>Allerheiligen(tag)</t>
  </si>
  <si>
    <t>1./Erster Weihnachts(feier)tag</t>
  </si>
  <si>
    <t>2./Zweiter Weihnachts(feier)tag</t>
  </si>
  <si>
    <t>Reformationstag/-fest</t>
  </si>
  <si>
    <t>SUMME</t>
  </si>
  <si>
    <t>Arbeitstage</t>
  </si>
  <si>
    <t>Arbeitsstunden Ist</t>
  </si>
  <si>
    <t>Arbeitsstunden Soll</t>
  </si>
  <si>
    <t>Stunden pro Tag</t>
  </si>
  <si>
    <t xml:space="preserve">Summe: </t>
  </si>
  <si>
    <t>Tage abwesend</t>
  </si>
  <si>
    <t>Stunden abwesend</t>
  </si>
  <si>
    <t>krank</t>
  </si>
  <si>
    <t>heute:</t>
  </si>
  <si>
    <t>Arbeitstage bis heute:</t>
  </si>
  <si>
    <t>Überstunden kumuliert (bis heute)</t>
  </si>
  <si>
    <t>Überstunden Monat (bis heute)</t>
  </si>
  <si>
    <t>Projekt G</t>
  </si>
  <si>
    <t>H GmbH</t>
  </si>
  <si>
    <t>w</t>
  </si>
  <si>
    <t>Summe Tage</t>
  </si>
  <si>
    <t>Monats-erster</t>
  </si>
  <si>
    <t>Monats-letzter</t>
  </si>
  <si>
    <t>Buß- und Bettag</t>
  </si>
  <si>
    <t>Hilfsspalten</t>
  </si>
  <si>
    <t>max. Stunden pro Tag</t>
  </si>
  <si>
    <t>Pause nach 6 Stunden</t>
  </si>
  <si>
    <t>Pause nach 9 Stunden</t>
  </si>
  <si>
    <r>
      <rPr>
        <b/>
        <sz val="6"/>
        <rFont val="Calibri"/>
        <family val="2"/>
      </rPr>
      <t>Σ</t>
    </r>
    <r>
      <rPr>
        <b/>
        <sz val="6"/>
        <rFont val="Arial"/>
        <family val="2"/>
      </rPr>
      <t xml:space="preserve"> Arbeit p.Tag</t>
    </r>
  </si>
  <si>
    <t>Σ Pause p.Tag</t>
  </si>
  <si>
    <t>Pause i.O.?</t>
  </si>
  <si>
    <t>Σ Arbeit p.Tag 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</si>
</sst>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quot;€&quot;_-;\-* #,##0.00\ &quot;€&quot;_-;_-* &quot;-&quot;??\ &quot;€&quot;_-;_-@_-"/>
    <numFmt numFmtId="165" formatCode="[hh]:mm\ \h"/>
    <numFmt numFmtId="166" formatCode="0.00\ [$€]"/>
    <numFmt numFmtId="167" formatCode="0\:"/>
    <numFmt numFmtId="168" formatCode="00"/>
    <numFmt numFmtId="169" formatCode="0;\-0;;@"/>
    <numFmt numFmtId="170" formatCode="0.00;\-0.00;;@"/>
    <numFmt numFmtId="171" formatCode="#,#00.00;\-#,#00.00;;@"/>
    <numFmt numFmtId="172" formatCode="#,##0.00;\-#,##0.00;;@"/>
    <numFmt numFmtId="173" formatCode="h:mm;@"/>
    <numFmt numFmtId="174" formatCode="0.00_ ;[Red]\-0.00\ "/>
  </numFmts>
  <fonts count="24" x14ac:knownFonts="1">
    <font>
      <sz val="11"/>
      <color theme="1"/>
      <name val="Calibri"/>
      <family val="2"/>
      <scheme val="minor"/>
    </font>
    <font>
      <sz val="11"/>
      <color theme="1"/>
      <name val="Calibri"/>
      <family val="2"/>
      <scheme val="minor"/>
    </font>
    <font>
      <b/>
      <sz val="12"/>
      <color theme="0"/>
      <name val="Arial"/>
      <family val="2"/>
    </font>
    <font>
      <sz val="10"/>
      <name val="Arial"/>
      <family val="2"/>
    </font>
    <font>
      <sz val="8"/>
      <name val="Calibri"/>
      <family val="2"/>
      <scheme val="minor"/>
    </font>
    <font>
      <b/>
      <sz val="10"/>
      <name val="Arial"/>
      <family val="2"/>
    </font>
    <font>
      <sz val="11"/>
      <color theme="1"/>
      <name val="Arial"/>
      <family val="2"/>
    </font>
    <font>
      <sz val="10"/>
      <color theme="1"/>
      <name val="Arial"/>
      <family val="2"/>
    </font>
    <font>
      <b/>
      <sz val="10"/>
      <color theme="1"/>
      <name val="Arial"/>
      <family val="2"/>
    </font>
    <font>
      <sz val="9"/>
      <color theme="1"/>
      <name val="Arial"/>
      <family val="2"/>
    </font>
    <font>
      <sz val="9"/>
      <name val="Arial"/>
      <family val="2"/>
    </font>
    <font>
      <b/>
      <sz val="10"/>
      <color theme="0"/>
      <name val="Arial"/>
      <family val="2"/>
    </font>
    <font>
      <b/>
      <sz val="11"/>
      <name val="Arial"/>
      <family val="2"/>
    </font>
    <font>
      <b/>
      <sz val="11"/>
      <color theme="0"/>
      <name val="Arial"/>
      <family val="2"/>
    </font>
    <font>
      <b/>
      <sz val="11"/>
      <color theme="1"/>
      <name val="Arial"/>
      <family val="2"/>
    </font>
    <font>
      <sz val="11"/>
      <color theme="0" tint="-0.34998626667073579"/>
      <name val="Arial"/>
      <family val="2"/>
    </font>
    <font>
      <sz val="12"/>
      <color theme="1"/>
      <name val="Arial"/>
      <family val="2"/>
    </font>
    <font>
      <b/>
      <sz val="12"/>
      <color theme="1"/>
      <name val="Arial"/>
      <family val="2"/>
    </font>
    <font>
      <b/>
      <sz val="10"/>
      <color rgb="FFEF9D3E"/>
      <name val="Arial"/>
      <family val="2"/>
    </font>
    <font>
      <sz val="6"/>
      <color theme="1"/>
      <name val="Arial"/>
      <family val="2"/>
    </font>
    <font>
      <b/>
      <sz val="6"/>
      <color theme="1"/>
      <name val="Arial"/>
      <family val="2"/>
    </font>
    <font>
      <b/>
      <sz val="6"/>
      <name val="Arial"/>
      <family val="2"/>
    </font>
    <font>
      <b/>
      <sz val="6"/>
      <name val="Calibri"/>
      <family val="2"/>
    </font>
    <font>
      <sz val="6"/>
      <name val="Arial"/>
      <family val="2"/>
    </font>
  </fonts>
  <fills count="7">
    <fill>
      <patternFill patternType="none"/>
    </fill>
    <fill>
      <patternFill patternType="gray125"/>
    </fill>
    <fill>
      <patternFill patternType="solid">
        <fgColor rgb="FF244D80"/>
        <bgColor indexed="64"/>
      </patternFill>
    </fill>
    <fill>
      <patternFill patternType="solid">
        <fgColor theme="0" tint="-0.14999847407452621"/>
        <bgColor indexed="64"/>
      </patternFill>
    </fill>
    <fill>
      <patternFill patternType="solid">
        <fgColor rgb="FFEF9D3E"/>
        <bgColor indexed="64"/>
      </patternFill>
    </fill>
    <fill>
      <patternFill patternType="solid">
        <fgColor theme="4" tint="0.79998168889431442"/>
        <bgColor indexed="64"/>
      </patternFill>
    </fill>
    <fill>
      <patternFill patternType="solid">
        <fgColor theme="2" tint="-0.249977111117893"/>
        <bgColor indexed="64"/>
      </patternFill>
    </fill>
  </fills>
  <borders count="29">
    <border>
      <left/>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top style="dotted">
        <color theme="1" tint="0.499984740745262"/>
      </top>
      <bottom style="dotted">
        <color theme="1" tint="0.499984740745262"/>
      </bottom>
      <diagonal/>
    </border>
    <border>
      <left style="medium">
        <color rgb="FFEF9D3E"/>
      </left>
      <right/>
      <top/>
      <bottom/>
      <diagonal/>
    </border>
    <border>
      <left/>
      <right style="medium">
        <color rgb="FFEF9D3E"/>
      </right>
      <top/>
      <bottom/>
      <diagonal/>
    </border>
    <border>
      <left style="medium">
        <color rgb="FFEF9D3E"/>
      </left>
      <right style="dotted">
        <color theme="1" tint="0.499984740745262"/>
      </right>
      <top style="dotted">
        <color theme="1" tint="0.499984740745262"/>
      </top>
      <bottom style="dotted">
        <color theme="1" tint="0.499984740745262"/>
      </bottom>
      <diagonal/>
    </border>
    <border>
      <left style="dotted">
        <color theme="1" tint="0.499984740745262"/>
      </left>
      <right style="medium">
        <color rgb="FFEF9D3E"/>
      </right>
      <top style="dotted">
        <color theme="1" tint="0.499984740745262"/>
      </top>
      <bottom style="dotted">
        <color theme="1" tint="0.499984740745262"/>
      </bottom>
      <diagonal/>
    </border>
    <border>
      <left style="medium">
        <color rgb="FFEF9D3E"/>
      </left>
      <right style="dotted">
        <color theme="1" tint="0.499984740745262"/>
      </right>
      <top style="dotted">
        <color theme="1" tint="0.499984740745262"/>
      </top>
      <bottom style="medium">
        <color rgb="FFEF9D3E"/>
      </bottom>
      <diagonal/>
    </border>
    <border>
      <left style="dotted">
        <color theme="1" tint="0.499984740745262"/>
      </left>
      <right style="medium">
        <color rgb="FFEF9D3E"/>
      </right>
      <top style="dotted">
        <color theme="1" tint="0.499984740745262"/>
      </top>
      <bottom style="medium">
        <color rgb="FFEF9D3E"/>
      </bottom>
      <diagonal/>
    </border>
    <border>
      <left/>
      <right/>
      <top/>
      <bottom style="dotted">
        <color theme="1" tint="0.499984740745262"/>
      </bottom>
      <diagonal/>
    </border>
    <border>
      <left style="medium">
        <color rgb="FFEF9D3E"/>
      </left>
      <right/>
      <top/>
      <bottom style="dotted">
        <color theme="1" tint="0.499984740745262"/>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dashed">
        <color theme="4" tint="0.39994506668294322"/>
      </left>
      <right style="dashed">
        <color theme="4" tint="0.39994506668294322"/>
      </right>
      <top style="dashed">
        <color theme="4" tint="0.39994506668294322"/>
      </top>
      <bottom style="dashed">
        <color theme="4" tint="0.39994506668294322"/>
      </bottom>
      <diagonal/>
    </border>
    <border>
      <left style="dashed">
        <color theme="4" tint="0.39994506668294322"/>
      </left>
      <right style="dashed">
        <color theme="4" tint="0.39991454817346722"/>
      </right>
      <top style="dashed">
        <color theme="4" tint="0.39994506668294322"/>
      </top>
      <bottom style="dashed">
        <color theme="4" tint="0.39994506668294322"/>
      </bottom>
      <diagonal/>
    </border>
    <border>
      <left style="dashed">
        <color theme="4" tint="0.39991454817346722"/>
      </left>
      <right style="dashed">
        <color theme="4" tint="0.39991454817346722"/>
      </right>
      <top style="dashed">
        <color theme="4" tint="0.39994506668294322"/>
      </top>
      <bottom style="dashed">
        <color theme="4" tint="0.39994506668294322"/>
      </bottom>
      <diagonal/>
    </border>
    <border>
      <left style="dashed">
        <color theme="4" tint="0.39991454817346722"/>
      </left>
      <right style="dashed">
        <color theme="4" tint="0.39994506668294322"/>
      </right>
      <top style="dashed">
        <color theme="4" tint="0.39994506668294322"/>
      </top>
      <bottom style="dashed">
        <color theme="4" tint="0.39994506668294322"/>
      </bottom>
      <diagonal/>
    </border>
    <border>
      <left/>
      <right style="dashed">
        <color theme="4" tint="0.39991454817346722"/>
      </right>
      <top style="dashed">
        <color theme="4" tint="0.39994506668294322"/>
      </top>
      <bottom style="dashed">
        <color theme="4" tint="0.39994506668294322"/>
      </bottom>
      <diagonal/>
    </border>
    <border>
      <left style="medium">
        <color rgb="FFEF9D3E"/>
      </left>
      <right/>
      <top style="medium">
        <color rgb="FFEF9D3E"/>
      </top>
      <bottom style="dotted">
        <color theme="1" tint="0.499984740745262"/>
      </bottom>
      <diagonal/>
    </border>
    <border>
      <left/>
      <right style="medium">
        <color rgb="FFEF9D3E"/>
      </right>
      <top style="medium">
        <color rgb="FFEF9D3E"/>
      </top>
      <bottom style="dotted">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dashed">
        <color theme="4" tint="0.39994506668294322"/>
      </left>
      <right/>
      <top style="dashed">
        <color theme="4" tint="0.39994506668294322"/>
      </top>
      <bottom style="dashed">
        <color theme="4" tint="0.39994506668294322"/>
      </bottom>
      <diagonal/>
    </border>
    <border>
      <left style="dashed">
        <color theme="4" tint="0.39994506668294322"/>
      </left>
      <right style="dashed">
        <color theme="4" tint="0.39991454817346722"/>
      </right>
      <top style="dashed">
        <color theme="4" tint="0.39994506668294322"/>
      </top>
      <bottom/>
      <diagonal/>
    </border>
    <border>
      <left style="hair">
        <color theme="1" tint="0.499984740745262"/>
      </left>
      <right/>
      <top/>
      <bottom/>
      <diagonal/>
    </border>
    <border>
      <left style="hair">
        <color theme="1" tint="0.499984740745262"/>
      </left>
      <right style="hair">
        <color theme="1" tint="0.499984740745262"/>
      </right>
      <top/>
      <bottom style="hair">
        <color theme="1" tint="0.499984740745262"/>
      </bottom>
      <diagonal/>
    </border>
    <border>
      <left/>
      <right style="dashed">
        <color theme="4" tint="0.39991454817346722"/>
      </right>
      <top style="thin">
        <color theme="4" tint="0.39997558519241921"/>
      </top>
      <bottom/>
      <diagonal/>
    </border>
    <border>
      <left/>
      <right style="dotted">
        <color theme="1" tint="0.499984740745262"/>
      </right>
      <top style="dotted">
        <color theme="1" tint="0.499984740745262"/>
      </top>
      <bottom style="dotted">
        <color theme="1" tint="0.499984740745262"/>
      </bottom>
      <diagonal/>
    </border>
  </borders>
  <cellStyleXfs count="3">
    <xf numFmtId="0" fontId="0" fillId="0" borderId="0"/>
    <xf numFmtId="164" fontId="1" fillId="0" borderId="0" applyFont="0" applyFill="0" applyBorder="0" applyAlignment="0" applyProtection="0"/>
    <xf numFmtId="0" fontId="3" fillId="0" borderId="0"/>
  </cellStyleXfs>
  <cellXfs count="103">
    <xf numFmtId="0" fontId="0" fillId="0" borderId="0" xfId="0"/>
    <xf numFmtId="0" fontId="6" fillId="0" borderId="0" xfId="0" applyFont="1"/>
    <xf numFmtId="0" fontId="7" fillId="0" borderId="0" xfId="0" applyFont="1"/>
    <xf numFmtId="2" fontId="7" fillId="0" borderId="0" xfId="0" applyNumberFormat="1" applyFont="1"/>
    <xf numFmtId="0" fontId="6" fillId="0" borderId="0" xfId="0" applyFont="1" applyAlignment="1">
      <alignment horizontal="center"/>
    </xf>
    <xf numFmtId="0" fontId="8" fillId="0" borderId="0" xfId="0" applyFont="1"/>
    <xf numFmtId="0" fontId="8" fillId="0" borderId="0" xfId="0" applyFont="1" applyAlignment="1">
      <alignment horizontal="center"/>
    </xf>
    <xf numFmtId="14" fontId="9" fillId="3" borderId="2" xfId="0" applyNumberFormat="1" applyFont="1" applyFill="1" applyBorder="1" applyAlignment="1">
      <alignment vertical="center"/>
    </xf>
    <xf numFmtId="14" fontId="9" fillId="0" borderId="2" xfId="0" applyNumberFormat="1" applyFont="1" applyBorder="1" applyAlignment="1">
      <alignment vertical="center"/>
    </xf>
    <xf numFmtId="167" fontId="10" fillId="0" borderId="5" xfId="0" applyNumberFormat="1" applyFont="1" applyBorder="1" applyAlignment="1">
      <alignment vertical="center"/>
    </xf>
    <xf numFmtId="168" fontId="10" fillId="0" borderId="6" xfId="0" applyNumberFormat="1" applyFont="1" applyBorder="1" applyAlignment="1">
      <alignment horizontal="left" vertical="center"/>
    </xf>
    <xf numFmtId="165" fontId="10" fillId="0" borderId="1" xfId="0" applyNumberFormat="1" applyFont="1" applyBorder="1" applyAlignment="1">
      <alignment vertical="center"/>
    </xf>
    <xf numFmtId="0" fontId="10" fillId="0" borderId="1" xfId="0" applyFont="1" applyBorder="1" applyAlignment="1">
      <alignment vertical="center"/>
    </xf>
    <xf numFmtId="0" fontId="10" fillId="3" borderId="1" xfId="0" applyFont="1" applyFill="1" applyBorder="1" applyAlignment="1">
      <alignment vertical="center"/>
    </xf>
    <xf numFmtId="166" fontId="10" fillId="3" borderId="1" xfId="0" applyNumberFormat="1" applyFont="1" applyFill="1" applyBorder="1" applyAlignment="1">
      <alignment vertical="center"/>
    </xf>
    <xf numFmtId="0" fontId="9" fillId="0" borderId="1" xfId="0" applyFont="1" applyBorder="1" applyAlignment="1">
      <alignment vertical="center"/>
    </xf>
    <xf numFmtId="167" fontId="10" fillId="0" borderId="7" xfId="0" applyNumberFormat="1" applyFont="1" applyBorder="1" applyAlignment="1">
      <alignment vertical="center"/>
    </xf>
    <xf numFmtId="168" fontId="10" fillId="0" borderId="8" xfId="0" applyNumberFormat="1" applyFont="1" applyBorder="1" applyAlignment="1">
      <alignment horizontal="left" vertic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6" fillId="5" borderId="16" xfId="0" applyFont="1" applyFill="1" applyBorder="1"/>
    <xf numFmtId="0" fontId="6" fillId="5" borderId="17" xfId="0" applyFont="1" applyFill="1" applyBorder="1"/>
    <xf numFmtId="164" fontId="6" fillId="5" borderId="18" xfId="1" applyNumberFormat="1" applyFont="1" applyFill="1" applyBorder="1"/>
    <xf numFmtId="0" fontId="6" fillId="5" borderId="15" xfId="0" applyFont="1" applyFill="1" applyBorder="1"/>
    <xf numFmtId="0" fontId="6" fillId="5" borderId="19" xfId="0" applyFont="1" applyFill="1" applyBorder="1"/>
    <xf numFmtId="0" fontId="7" fillId="0" borderId="0" xfId="0" applyFont="1" applyAlignment="1">
      <alignment vertical="center"/>
    </xf>
    <xf numFmtId="0" fontId="0" fillId="0" borderId="0" xfId="0" pivotButton="1"/>
    <xf numFmtId="0" fontId="5" fillId="4" borderId="0" xfId="2" applyFont="1" applyFill="1" applyBorder="1" applyAlignment="1">
      <alignment horizontal="center" vertical="center"/>
    </xf>
    <xf numFmtId="0" fontId="11" fillId="2" borderId="11" xfId="0" applyFont="1" applyFill="1" applyBorder="1" applyAlignment="1">
      <alignment horizontal="center" vertical="center"/>
    </xf>
    <xf numFmtId="0" fontId="6" fillId="5" borderId="16" xfId="0" applyFont="1" applyFill="1" applyBorder="1" applyAlignment="1">
      <alignment vertical="center"/>
    </xf>
    <xf numFmtId="0" fontId="5" fillId="4" borderId="9" xfId="2" applyFont="1" applyFill="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1" fontId="8" fillId="0" borderId="4" xfId="0" applyNumberFormat="1" applyFont="1" applyBorder="1" applyAlignment="1">
      <alignment horizontal="left" vertical="top"/>
    </xf>
    <xf numFmtId="0" fontId="5" fillId="4" borderId="10" xfId="2" applyFont="1" applyFill="1" applyBorder="1" applyAlignment="1">
      <alignment horizontal="center" vertical="top"/>
    </xf>
    <xf numFmtId="0" fontId="5" fillId="4" borderId="0" xfId="2" applyFont="1" applyFill="1" applyBorder="1" applyAlignment="1">
      <alignment horizontal="center" vertical="top"/>
    </xf>
    <xf numFmtId="0" fontId="8" fillId="0" borderId="0" xfId="0" applyFont="1" applyAlignment="1">
      <alignment horizontal="center" vertical="top"/>
    </xf>
    <xf numFmtId="164" fontId="8" fillId="0" borderId="0" xfId="1" applyFont="1"/>
    <xf numFmtId="2" fontId="11" fillId="2" borderId="11" xfId="1" applyNumberFormat="1" applyFont="1" applyFill="1" applyBorder="1" applyAlignment="1">
      <alignment horizontal="right" vertical="center"/>
    </xf>
    <xf numFmtId="2" fontId="6" fillId="5" borderId="16" xfId="0" applyNumberFormat="1" applyFont="1" applyFill="1" applyBorder="1" applyAlignment="1">
      <alignment vertical="center"/>
    </xf>
    <xf numFmtId="0" fontId="6" fillId="0" borderId="0" xfId="0" applyFont="1" applyAlignment="1">
      <alignment vertical="center"/>
    </xf>
    <xf numFmtId="164" fontId="6" fillId="0" borderId="0" xfId="1" applyFont="1" applyAlignment="1">
      <alignment vertical="center"/>
    </xf>
    <xf numFmtId="164" fontId="6" fillId="5" borderId="16" xfId="1" applyFont="1" applyFill="1" applyBorder="1" applyAlignment="1">
      <alignment vertical="center"/>
    </xf>
    <xf numFmtId="2" fontId="8" fillId="0" borderId="0" xfId="1" applyNumberFormat="1" applyFont="1"/>
    <xf numFmtId="0" fontId="7" fillId="0" borderId="0" xfId="0" applyFont="1" applyAlignment="1">
      <alignment horizontal="right"/>
    </xf>
    <xf numFmtId="14" fontId="0" fillId="0" borderId="0" xfId="0" applyNumberFormat="1" applyAlignment="1">
      <alignment horizontal="left"/>
    </xf>
    <xf numFmtId="0" fontId="0" fillId="0" borderId="0" xfId="0" applyAlignment="1">
      <alignment horizontal="left"/>
    </xf>
    <xf numFmtId="0" fontId="0" fillId="0" borderId="0" xfId="0" applyNumberFormat="1"/>
    <xf numFmtId="0" fontId="12" fillId="4" borderId="0" xfId="2" applyFont="1" applyFill="1" applyBorder="1" applyAlignment="1">
      <alignment horizontal="center" vertical="center"/>
    </xf>
    <xf numFmtId="0" fontId="13" fillId="2" borderId="11" xfId="0" applyFont="1" applyFill="1" applyBorder="1" applyAlignment="1">
      <alignment horizontal="center" vertical="center"/>
    </xf>
    <xf numFmtId="164" fontId="13" fillId="2" borderId="11" xfId="1" applyFont="1" applyFill="1" applyBorder="1" applyAlignment="1">
      <alignment horizontal="right" vertical="center"/>
    </xf>
    <xf numFmtId="0" fontId="10" fillId="0" borderId="1" xfId="0" applyFont="1" applyBorder="1" applyAlignment="1">
      <alignment vertical="center" wrapText="1"/>
    </xf>
    <xf numFmtId="0" fontId="9" fillId="0" borderId="1" xfId="0" applyFont="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14" fontId="6" fillId="0" borderId="0" xfId="0" applyNumberFormat="1" applyFont="1"/>
    <xf numFmtId="0" fontId="6" fillId="0" borderId="0" xfId="0" applyFont="1" applyAlignment="1">
      <alignment horizontal="right"/>
    </xf>
    <xf numFmtId="0" fontId="2" fillId="2" borderId="11" xfId="0" applyFont="1" applyFill="1" applyBorder="1" applyAlignment="1">
      <alignment horizontal="center" vertical="top" wrapText="1"/>
    </xf>
    <xf numFmtId="0" fontId="6" fillId="0" borderId="0" xfId="0" applyFont="1" applyAlignment="1">
      <alignment vertical="top"/>
    </xf>
    <xf numFmtId="14" fontId="6" fillId="5" borderId="19" xfId="0" applyNumberFormat="1" applyFont="1" applyFill="1" applyBorder="1"/>
    <xf numFmtId="0" fontId="16" fillId="0" borderId="0" xfId="0" applyFont="1" applyAlignment="1">
      <alignment vertical="top" wrapText="1"/>
    </xf>
    <xf numFmtId="0" fontId="16" fillId="0" borderId="0" xfId="0" applyFont="1"/>
    <xf numFmtId="0" fontId="6" fillId="0" borderId="0" xfId="0" applyFont="1" applyAlignment="1">
      <alignment horizontal="right" vertical="top"/>
    </xf>
    <xf numFmtId="0" fontId="16" fillId="5" borderId="23" xfId="0" applyFont="1" applyFill="1" applyBorder="1" applyAlignment="1">
      <alignment vertical="center"/>
    </xf>
    <xf numFmtId="0" fontId="16" fillId="5" borderId="24" xfId="0" applyFont="1" applyFill="1" applyBorder="1" applyAlignment="1">
      <alignment horizontal="center" vertical="top" wrapText="1"/>
    </xf>
    <xf numFmtId="14" fontId="15" fillId="0" borderId="22" xfId="0" applyNumberFormat="1" applyFont="1" applyBorder="1" applyAlignment="1">
      <alignment horizontal="center"/>
    </xf>
    <xf numFmtId="0" fontId="15" fillId="0" borderId="22" xfId="0" applyFont="1" applyBorder="1" applyAlignment="1">
      <alignment horizontal="center"/>
    </xf>
    <xf numFmtId="169" fontId="15" fillId="0" borderId="22" xfId="0" applyNumberFormat="1" applyFont="1" applyBorder="1" applyAlignment="1">
      <alignment horizontal="center"/>
    </xf>
    <xf numFmtId="2" fontId="6" fillId="0" borderId="22" xfId="0" applyNumberFormat="1" applyFont="1" applyBorder="1" applyAlignment="1">
      <alignment vertical="top"/>
    </xf>
    <xf numFmtId="170" fontId="6" fillId="0" borderId="22" xfId="0" applyNumberFormat="1" applyFont="1" applyBorder="1" applyAlignment="1">
      <alignment vertical="top"/>
    </xf>
    <xf numFmtId="169" fontId="6" fillId="0" borderId="22" xfId="0" applyNumberFormat="1" applyFont="1" applyBorder="1" applyAlignment="1">
      <alignment vertical="top"/>
    </xf>
    <xf numFmtId="0" fontId="6" fillId="0" borderId="22" xfId="0" applyFont="1" applyBorder="1" applyAlignment="1">
      <alignment vertical="top"/>
    </xf>
    <xf numFmtId="0" fontId="17" fillId="5" borderId="0" xfId="0" applyFont="1" applyFill="1"/>
    <xf numFmtId="169" fontId="14" fillId="5" borderId="26" xfId="0" applyNumberFormat="1" applyFont="1" applyFill="1" applyBorder="1" applyAlignment="1">
      <alignment vertical="top"/>
    </xf>
    <xf numFmtId="169" fontId="6" fillId="0" borderId="25" xfId="0" applyNumberFormat="1" applyFont="1" applyBorder="1" applyAlignment="1">
      <alignment vertical="top"/>
    </xf>
    <xf numFmtId="3" fontId="14" fillId="5" borderId="22" xfId="0" applyNumberFormat="1" applyFont="1" applyFill="1" applyBorder="1" applyAlignment="1">
      <alignment vertical="top"/>
    </xf>
    <xf numFmtId="3" fontId="14" fillId="5" borderId="22" xfId="0" applyNumberFormat="1" applyFont="1" applyFill="1" applyBorder="1" applyAlignment="1">
      <alignment horizontal="center"/>
    </xf>
    <xf numFmtId="4" fontId="14" fillId="5" borderId="22" xfId="0" applyNumberFormat="1" applyFont="1" applyFill="1" applyBorder="1" applyAlignment="1">
      <alignment vertical="top"/>
    </xf>
    <xf numFmtId="171" fontId="6" fillId="0" borderId="22" xfId="0" applyNumberFormat="1" applyFont="1" applyBorder="1" applyAlignment="1">
      <alignment vertical="top"/>
    </xf>
    <xf numFmtId="0" fontId="18" fillId="4" borderId="0" xfId="2" applyFont="1" applyFill="1" applyAlignment="1">
      <alignment horizontal="center" vertical="top"/>
    </xf>
    <xf numFmtId="14" fontId="6" fillId="6" borderId="0" xfId="0" applyNumberFormat="1" applyFont="1" applyFill="1" applyAlignment="1">
      <alignment horizontal="left" vertical="top"/>
    </xf>
    <xf numFmtId="0" fontId="6" fillId="6" borderId="0" xfId="0" applyFont="1" applyFill="1" applyAlignment="1">
      <alignment horizontal="left" vertical="top"/>
    </xf>
    <xf numFmtId="172" fontId="6" fillId="0" borderId="0" xfId="0" applyNumberFormat="1" applyFont="1" applyAlignment="1">
      <alignment vertical="center"/>
    </xf>
    <xf numFmtId="173" fontId="10" fillId="3" borderId="0" xfId="0" applyNumberFormat="1" applyFont="1" applyFill="1" applyBorder="1" applyAlignment="1">
      <alignment vertical="center"/>
    </xf>
    <xf numFmtId="173" fontId="6" fillId="0" borderId="0" xfId="0" applyNumberFormat="1" applyFont="1"/>
    <xf numFmtId="173" fontId="8" fillId="0" borderId="0" xfId="0" applyNumberFormat="1" applyFont="1"/>
    <xf numFmtId="173" fontId="5" fillId="4" borderId="0" xfId="2" applyNumberFormat="1" applyFont="1" applyFill="1" applyAlignment="1">
      <alignment horizontal="center" vertical="top"/>
    </xf>
    <xf numFmtId="173" fontId="7" fillId="0" borderId="0" xfId="0" applyNumberFormat="1" applyFont="1"/>
    <xf numFmtId="0" fontId="6" fillId="5" borderId="0" xfId="0" applyFont="1" applyFill="1"/>
    <xf numFmtId="0" fontId="19" fillId="0" borderId="0" xfId="0" applyFont="1" applyAlignment="1">
      <alignment horizontal="center"/>
    </xf>
    <xf numFmtId="0" fontId="20" fillId="0" borderId="0" xfId="0" applyFont="1" applyAlignment="1">
      <alignment horizontal="center"/>
    </xf>
    <xf numFmtId="2" fontId="23" fillId="3" borderId="28" xfId="0" applyNumberFormat="1" applyFont="1" applyFill="1" applyBorder="1" applyAlignment="1">
      <alignment horizontal="center" vertical="center"/>
    </xf>
    <xf numFmtId="2" fontId="20" fillId="0" borderId="0" xfId="1" applyNumberFormat="1" applyFont="1"/>
    <xf numFmtId="0" fontId="5" fillId="4" borderId="0" xfId="2" applyFont="1" applyFill="1" applyAlignment="1">
      <alignment horizontal="center" vertical="top"/>
    </xf>
    <xf numFmtId="174" fontId="10" fillId="3" borderId="5" xfId="0" applyNumberFormat="1" applyFont="1" applyFill="1" applyBorder="1" applyAlignment="1">
      <alignment horizontal="center" vertical="center"/>
    </xf>
    <xf numFmtId="0" fontId="21" fillId="4" borderId="0" xfId="2" applyFont="1" applyFill="1" applyBorder="1" applyAlignment="1">
      <alignment horizontal="left" vertical="top" wrapText="1"/>
    </xf>
    <xf numFmtId="0" fontId="2" fillId="2" borderId="12" xfId="0" applyFont="1" applyFill="1" applyBorder="1" applyAlignment="1">
      <alignment horizontal="center"/>
    </xf>
    <xf numFmtId="0" fontId="2" fillId="2" borderId="27" xfId="0" applyFont="1" applyFill="1" applyBorder="1" applyAlignment="1">
      <alignment horizontal="center"/>
    </xf>
    <xf numFmtId="0" fontId="5" fillId="4" borderId="20" xfId="2" applyFont="1" applyFill="1" applyBorder="1" applyAlignment="1">
      <alignment horizontal="center"/>
    </xf>
    <xf numFmtId="0" fontId="5" fillId="4" borderId="21" xfId="2" applyFont="1" applyFill="1" applyBorder="1" applyAlignment="1">
      <alignment horizontal="center"/>
    </xf>
  </cellXfs>
  <cellStyles count="3">
    <cellStyle name="Currency" xfId="1" builtinId="4"/>
    <cellStyle name="Normal" xfId="0" builtinId="0"/>
    <cellStyle name="Standard 2" xfId="2" xr:uid="{B25A70CD-96EC-44BC-817F-6F720581B963}"/>
  </cellStyles>
  <dxfs count="25">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Arial"/>
        <family val="2"/>
        <scheme val="none"/>
      </font>
      <numFmt numFmtId="173" formatCode="h:mm;@"/>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3" formatCode="h:mm;@"/>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3" formatCode="h:mm;@"/>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3" formatCode="h:mm;@"/>
      <fill>
        <patternFill patternType="solid">
          <fgColor indexed="64"/>
          <bgColor theme="0" tint="-0.14999847407452621"/>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left style="dotted">
          <color theme="1" tint="0.499984740745262"/>
        </left>
        <right style="dotted">
          <color theme="1" tint="0.499984740745262"/>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auto="1"/>
        <name val="Arial"/>
        <family val="2"/>
        <scheme val="none"/>
      </font>
      <numFmt numFmtId="166" formatCode="0.00\ [$€]"/>
      <fill>
        <patternFill patternType="solid">
          <fgColor indexed="64"/>
          <bgColor theme="0" tint="-0.14999847407452621"/>
        </patternFill>
      </fill>
      <alignment horizontal="general" vertical="center" textRotation="0" wrapText="0" indent="0" justifyLastLine="0" shrinkToFit="0" readingOrder="0"/>
      <border diagonalUp="0" diagonalDown="0">
        <left style="dotted">
          <color theme="1" tint="0.499984740745262"/>
        </left>
        <right style="dotted">
          <color theme="1" tint="0.499984740745262"/>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auto="1"/>
        <name val="Arial"/>
        <family val="2"/>
        <scheme val="none"/>
      </font>
      <numFmt numFmtId="166" formatCode="0.00\ [$€]"/>
      <fill>
        <patternFill patternType="solid">
          <fgColor indexed="64"/>
          <bgColor theme="0" tint="-0.14999847407452621"/>
        </patternFill>
      </fill>
      <alignment horizontal="general" vertical="center" textRotation="0" wrapText="0" indent="0" justifyLastLine="0" shrinkToFit="0" readingOrder="0"/>
      <border diagonalUp="0" diagonalDown="0">
        <left style="dotted">
          <color theme="1" tint="0.499984740745262"/>
        </left>
        <right style="dotted">
          <color theme="1" tint="0.499984740745262"/>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dotted">
          <color theme="1" tint="0.499984740745262"/>
        </left>
        <right style="dotted">
          <color theme="1" tint="0.499984740745262"/>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style="dotted">
          <color theme="1" tint="0.499984740745262"/>
        </left>
        <right style="dotted">
          <color theme="1" tint="0.499984740745262"/>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border diagonalUp="0" diagonalDown="0">
        <left style="dotted">
          <color theme="1" tint="0.499984740745262"/>
        </left>
        <right style="dotted">
          <color theme="1" tint="0.499984740745262"/>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auto="1"/>
        <name val="Arial"/>
        <family val="2"/>
        <scheme val="none"/>
      </font>
      <numFmt numFmtId="165" formatCode="[hh]:mm\ \h"/>
      <alignment horizontal="general" vertical="center" textRotation="0" wrapText="0" indent="0" justifyLastLine="0" shrinkToFit="0" readingOrder="0"/>
      <border diagonalUp="0" diagonalDown="0">
        <left style="dotted">
          <color theme="1" tint="0.499984740745262"/>
        </left>
        <right style="dotted">
          <color theme="1" tint="0.499984740745262"/>
        </right>
        <top style="dotted">
          <color theme="1" tint="0.499984740745262"/>
        </top>
        <bottom style="dotted">
          <color theme="1" tint="0.499984740745262"/>
        </bottom>
        <vertical/>
        <horizontal/>
      </border>
    </dxf>
    <dxf>
      <font>
        <b val="0"/>
        <i val="0"/>
        <strike val="0"/>
        <condense val="0"/>
        <extend val="0"/>
        <outline val="0"/>
        <shadow val="0"/>
        <u val="none"/>
        <vertAlign val="baseline"/>
        <sz val="6"/>
        <color auto="1"/>
        <name val="Arial"/>
        <family val="2"/>
        <scheme val="none"/>
      </font>
      <numFmt numFmtId="2" formatCode="0.0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dotted">
          <color theme="1" tint="0.499984740745262"/>
        </right>
        <top style="dotted">
          <color theme="1" tint="0.499984740745262"/>
        </top>
        <bottom style="dotted">
          <color theme="1" tint="0.499984740745262"/>
        </bottom>
      </border>
    </dxf>
    <dxf>
      <font>
        <b val="0"/>
        <i val="0"/>
        <strike val="0"/>
        <condense val="0"/>
        <extend val="0"/>
        <outline val="0"/>
        <shadow val="0"/>
        <u val="none"/>
        <vertAlign val="baseline"/>
        <sz val="6"/>
        <color auto="1"/>
        <name val="Arial"/>
        <family val="2"/>
        <scheme val="none"/>
      </font>
      <numFmt numFmtId="2" formatCode="0.00"/>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dotted">
          <color theme="1" tint="0.499984740745262"/>
        </top>
        <bottom style="dotted">
          <color theme="1" tint="0.499984740745262"/>
        </bottom>
      </border>
    </dxf>
    <dxf>
      <font>
        <b val="0"/>
        <i val="0"/>
        <strike val="0"/>
        <condense val="0"/>
        <extend val="0"/>
        <outline val="0"/>
        <shadow val="0"/>
        <u val="none"/>
        <vertAlign val="baseline"/>
        <sz val="9"/>
        <color auto="1"/>
        <name val="Arial"/>
        <family val="2"/>
        <scheme val="none"/>
      </font>
      <numFmt numFmtId="174" formatCode="0.00_ ;[Red]\-0.00\ "/>
      <fill>
        <patternFill patternType="solid">
          <fgColor indexed="64"/>
          <bgColor theme="0" tint="-0.14999847407452621"/>
        </patternFill>
      </fill>
      <alignment horizontal="center" vertical="center" textRotation="0" wrapText="0" indent="0" justifyLastLine="0" shrinkToFit="0" readingOrder="0"/>
      <border diagonalUp="0" diagonalDown="0">
        <left style="medium">
          <color rgb="FFEF9D3E"/>
        </left>
        <right/>
        <top style="dotted">
          <color theme="1" tint="0.499984740745262"/>
        </top>
        <bottom style="dotted">
          <color theme="1" tint="0.499984740745262"/>
        </bottom>
      </border>
    </dxf>
    <dxf>
      <font>
        <b val="0"/>
        <i val="0"/>
        <strike val="0"/>
        <condense val="0"/>
        <extend val="0"/>
        <outline val="0"/>
        <shadow val="0"/>
        <u val="none"/>
        <vertAlign val="baseline"/>
        <sz val="9"/>
        <color auto="1"/>
        <name val="Arial"/>
        <family val="2"/>
        <scheme val="none"/>
      </font>
      <numFmt numFmtId="168" formatCode="00"/>
      <alignment horizontal="left" vertical="center" textRotation="0" wrapText="0" indent="0" justifyLastLine="0" shrinkToFit="0" readingOrder="0"/>
      <border diagonalUp="0" diagonalDown="0">
        <left style="dotted">
          <color theme="1" tint="0.499984740745262"/>
        </left>
        <right style="medium">
          <color rgb="FFEF9D3E"/>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auto="1"/>
        <name val="Arial"/>
        <family val="2"/>
        <scheme val="none"/>
      </font>
      <numFmt numFmtId="167" formatCode="0\:"/>
      <alignment horizontal="general" vertical="center" textRotation="0" wrapText="0" indent="0" justifyLastLine="0" shrinkToFit="0" readingOrder="0"/>
      <border diagonalUp="0" diagonalDown="0">
        <left style="medium">
          <color rgb="FFEF9D3E"/>
        </left>
        <right style="dotted">
          <color theme="1" tint="0.499984740745262"/>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auto="1"/>
        <name val="Arial"/>
        <family val="2"/>
        <scheme val="none"/>
      </font>
      <numFmt numFmtId="168" formatCode="00"/>
      <alignment horizontal="left" vertical="center" textRotation="0" wrapText="0" indent="0" justifyLastLine="0" shrinkToFit="0" readingOrder="0"/>
      <border diagonalUp="0" diagonalDown="0">
        <left style="dotted">
          <color theme="1" tint="0.499984740745262"/>
        </left>
        <right style="medium">
          <color rgb="FFEF9D3E"/>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auto="1"/>
        <name val="Arial"/>
        <family val="2"/>
        <scheme val="none"/>
      </font>
      <numFmt numFmtId="167" formatCode="0\:"/>
      <alignment horizontal="general" vertical="center" textRotation="0" wrapText="0" indent="0" justifyLastLine="0" shrinkToFit="0" readingOrder="0"/>
      <border diagonalUp="0" diagonalDown="0">
        <left style="medium">
          <color rgb="FFEF9D3E"/>
        </left>
        <right style="dotted">
          <color theme="1" tint="0.499984740745262"/>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theme="1"/>
        <name val="Arial"/>
        <family val="2"/>
        <scheme val="none"/>
      </font>
      <numFmt numFmtId="175" formatCode="dd/mm/yyyy"/>
      <alignment horizontal="general" vertical="center" textRotation="0" wrapText="0" indent="0" justifyLastLine="0" shrinkToFit="0" readingOrder="0"/>
      <border diagonalUp="0" diagonalDown="0">
        <left style="dotted">
          <color theme="1" tint="0.499984740745262"/>
        </left>
        <right/>
        <top style="dotted">
          <color theme="1" tint="0.499984740745262"/>
        </top>
        <bottom style="dotted">
          <color theme="1" tint="0.499984740745262"/>
        </bottom>
        <vertical/>
        <horizontal/>
      </border>
    </dxf>
    <dxf>
      <font>
        <b val="0"/>
        <i val="0"/>
        <strike val="0"/>
        <condense val="0"/>
        <extend val="0"/>
        <outline val="0"/>
        <shadow val="0"/>
        <u val="none"/>
        <vertAlign val="baseline"/>
        <sz val="9"/>
        <color theme="1"/>
        <name val="Arial"/>
        <family val="2"/>
        <scheme val="none"/>
      </font>
      <numFmt numFmtId="175" formatCode="dd/mm/yyyy"/>
      <fill>
        <patternFill patternType="solid">
          <fgColor indexed="64"/>
          <bgColor theme="0" tint="-0.14999847407452621"/>
        </patternFill>
      </fill>
      <alignment horizontal="general" vertical="center" textRotation="0" wrapText="0" indent="0" justifyLastLine="0" shrinkToFit="0" readingOrder="0"/>
      <border diagonalUp="0" diagonalDown="0">
        <left style="dotted">
          <color theme="1" tint="0.499984740745262"/>
        </left>
        <right/>
        <top style="dotted">
          <color theme="1" tint="0.499984740745262"/>
        </top>
        <bottom style="dotted">
          <color theme="1" tint="0.499984740745262"/>
        </bottom>
        <vertical/>
        <horizontal/>
      </border>
    </dxf>
    <dxf>
      <font>
        <b/>
        <i val="0"/>
        <strike val="0"/>
        <condense val="0"/>
        <extend val="0"/>
        <outline val="0"/>
        <shadow val="0"/>
        <u val="none"/>
        <vertAlign val="baseline"/>
        <sz val="10"/>
        <color auto="1"/>
        <name val="Arial"/>
        <family val="2"/>
        <scheme val="none"/>
      </font>
      <fill>
        <patternFill patternType="solid">
          <fgColor indexed="64"/>
          <bgColor rgb="FFEF9D3E"/>
        </patternFill>
      </fill>
      <alignment horizontal="center" vertical="top" textRotation="0" wrapText="0" indent="0" justifyLastLine="0" shrinkToFit="0" readingOrder="0"/>
    </dxf>
    <dxf>
      <font>
        <b/>
        <i val="0"/>
        <color rgb="FFFF0000"/>
      </font>
    </dxf>
    <dxf>
      <font>
        <b/>
        <i val="0"/>
        <color rgb="FFFF0000"/>
      </font>
    </dxf>
  </dxfs>
  <tableStyles count="0" defaultTableStyle="TableStyleMedium2" defaultPivotStyle="PivotStyleLight16"/>
  <colors>
    <mruColors>
      <color rgb="FFEF9D3E"/>
      <color rgb="FF244D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1/relationships/timelineCache" Target="timelineCaches/timelineCache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Summe Stunden pro Monat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 Std.Monat'!$A$4</c:f>
              <c:strCache>
                <c:ptCount val="1"/>
                <c:pt idx="0">
                  <c:v>Internes</c:v>
                </c:pt>
              </c:strCache>
            </c:strRef>
          </c:tx>
          <c:spPr>
            <a:solidFill>
              <a:schemeClr val="accent1"/>
            </a:solidFill>
            <a:ln>
              <a:noFill/>
            </a:ln>
            <a:effectLst/>
          </c:spPr>
          <c:invertIfNegative val="0"/>
          <c:cat>
            <c:strRef>
              <c:f>'R Std.Monat'!$B$3:$M$3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Std.Monat'!$B$4:$M$4</c:f>
              <c:numCache>
                <c:formatCode>#,##0.00;\-#,##0.00;;@</c:formatCode>
                <c:ptCount val="12"/>
                <c:pt idx="0">
                  <c:v>0</c:v>
                </c:pt>
                <c:pt idx="1">
                  <c:v>0</c:v>
                </c:pt>
                <c:pt idx="2">
                  <c:v>0</c:v>
                </c:pt>
                <c:pt idx="3">
                  <c:v>0</c:v>
                </c:pt>
                <c:pt idx="4">
                  <c:v>0</c:v>
                </c:pt>
                <c:pt idx="5">
                  <c:v>0</c:v>
                </c:pt>
                <c:pt idx="6">
                  <c:v>3</c:v>
                </c:pt>
                <c:pt idx="7">
                  <c:v>0</c:v>
                </c:pt>
                <c:pt idx="8">
                  <c:v>0</c:v>
                </c:pt>
                <c:pt idx="9">
                  <c:v>0</c:v>
                </c:pt>
                <c:pt idx="10">
                  <c:v>0</c:v>
                </c:pt>
                <c:pt idx="11">
                  <c:v>0</c:v>
                </c:pt>
              </c:numCache>
            </c:numRef>
          </c:val>
          <c:extLst>
            <c:ext xmlns:c16="http://schemas.microsoft.com/office/drawing/2014/chart" uri="{C3380CC4-5D6E-409C-BE32-E72D297353CC}">
              <c16:uniqueId val="{00000000-8FF4-4D2A-9CA8-32AA1E9B0AE6}"/>
            </c:ext>
          </c:extLst>
        </c:ser>
        <c:ser>
          <c:idx val="1"/>
          <c:order val="1"/>
          <c:tx>
            <c:strRef>
              <c:f>'R Std.Monat'!$A$5</c:f>
              <c:strCache>
                <c:ptCount val="1"/>
                <c:pt idx="0">
                  <c:v>Vertrieb</c:v>
                </c:pt>
              </c:strCache>
            </c:strRef>
          </c:tx>
          <c:spPr>
            <a:solidFill>
              <a:schemeClr val="accent2"/>
            </a:solidFill>
            <a:ln>
              <a:noFill/>
            </a:ln>
            <a:effectLst/>
          </c:spPr>
          <c:invertIfNegative val="0"/>
          <c:cat>
            <c:strRef>
              <c:f>'R Std.Monat'!$B$3:$M$3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Std.Monat'!$B$5:$M$5</c:f>
              <c:numCache>
                <c:formatCode>#,##0.00;\-#,##0.00;;@</c:formatCode>
                <c:ptCount val="12"/>
                <c:pt idx="0">
                  <c:v>0</c:v>
                </c:pt>
                <c:pt idx="1">
                  <c:v>0</c:v>
                </c:pt>
                <c:pt idx="2">
                  <c:v>0</c:v>
                </c:pt>
                <c:pt idx="3">
                  <c:v>0</c:v>
                </c:pt>
                <c:pt idx="4">
                  <c:v>0</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1-8FF4-4D2A-9CA8-32AA1E9B0AE6}"/>
            </c:ext>
          </c:extLst>
        </c:ser>
        <c:ser>
          <c:idx val="2"/>
          <c:order val="2"/>
          <c:tx>
            <c:strRef>
              <c:f>'R Std.Monat'!$A$6</c:f>
              <c:strCache>
                <c:ptCount val="1"/>
                <c:pt idx="0">
                  <c:v>Netzwerk</c:v>
                </c:pt>
              </c:strCache>
            </c:strRef>
          </c:tx>
          <c:spPr>
            <a:solidFill>
              <a:schemeClr val="accent3"/>
            </a:solidFill>
            <a:ln>
              <a:noFill/>
            </a:ln>
            <a:effectLst/>
          </c:spPr>
          <c:invertIfNegative val="0"/>
          <c:cat>
            <c:strRef>
              <c:f>'R Std.Monat'!$B$3:$M$3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Std.Monat'!$B$6:$M$6</c:f>
              <c:numCache>
                <c:formatCode>#,##0.00;\-#,##0.00;;@</c:formatCode>
                <c:ptCount val="12"/>
                <c:pt idx="0">
                  <c:v>0</c:v>
                </c:pt>
                <c:pt idx="1">
                  <c:v>0</c:v>
                </c:pt>
                <c:pt idx="2">
                  <c:v>0</c:v>
                </c:pt>
                <c:pt idx="3">
                  <c:v>0</c:v>
                </c:pt>
                <c:pt idx="4">
                  <c:v>0</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2-8FF4-4D2A-9CA8-32AA1E9B0AE6}"/>
            </c:ext>
          </c:extLst>
        </c:ser>
        <c:ser>
          <c:idx val="3"/>
          <c:order val="3"/>
          <c:tx>
            <c:strRef>
              <c:f>'R Std.Monat'!$A$7</c:f>
              <c:strCache>
                <c:ptCount val="1"/>
                <c:pt idx="0">
                  <c:v>Projekt A</c:v>
                </c:pt>
              </c:strCache>
            </c:strRef>
          </c:tx>
          <c:spPr>
            <a:solidFill>
              <a:schemeClr val="accent4"/>
            </a:solidFill>
            <a:ln>
              <a:noFill/>
            </a:ln>
            <a:effectLst/>
          </c:spPr>
          <c:invertIfNegative val="0"/>
          <c:cat>
            <c:strRef>
              <c:f>'R Std.Monat'!$B$3:$M$3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Std.Monat'!$B$7:$M$7</c:f>
              <c:numCache>
                <c:formatCode>#,##0.00;\-#,##0.00;;@</c:formatCode>
                <c:ptCount val="12"/>
                <c:pt idx="0">
                  <c:v>0</c:v>
                </c:pt>
                <c:pt idx="1">
                  <c:v>34.25</c:v>
                </c:pt>
                <c:pt idx="2">
                  <c:v>0</c:v>
                </c:pt>
                <c:pt idx="3">
                  <c:v>0</c:v>
                </c:pt>
                <c:pt idx="4">
                  <c:v>0</c:v>
                </c:pt>
                <c:pt idx="5">
                  <c:v>0</c:v>
                </c:pt>
                <c:pt idx="6">
                  <c:v>21.75</c:v>
                </c:pt>
                <c:pt idx="7">
                  <c:v>0</c:v>
                </c:pt>
                <c:pt idx="8">
                  <c:v>0</c:v>
                </c:pt>
                <c:pt idx="9">
                  <c:v>0</c:v>
                </c:pt>
                <c:pt idx="10">
                  <c:v>0</c:v>
                </c:pt>
                <c:pt idx="11">
                  <c:v>0</c:v>
                </c:pt>
              </c:numCache>
            </c:numRef>
          </c:val>
          <c:extLst>
            <c:ext xmlns:c16="http://schemas.microsoft.com/office/drawing/2014/chart" uri="{C3380CC4-5D6E-409C-BE32-E72D297353CC}">
              <c16:uniqueId val="{00000003-8FF4-4D2A-9CA8-32AA1E9B0AE6}"/>
            </c:ext>
          </c:extLst>
        </c:ser>
        <c:ser>
          <c:idx val="4"/>
          <c:order val="4"/>
          <c:tx>
            <c:strRef>
              <c:f>'R Std.Monat'!$A$8</c:f>
              <c:strCache>
                <c:ptCount val="1"/>
                <c:pt idx="0">
                  <c:v>Projekt B</c:v>
                </c:pt>
              </c:strCache>
            </c:strRef>
          </c:tx>
          <c:spPr>
            <a:solidFill>
              <a:schemeClr val="accent5"/>
            </a:solidFill>
            <a:ln>
              <a:noFill/>
            </a:ln>
            <a:effectLst/>
          </c:spPr>
          <c:invertIfNegative val="0"/>
          <c:cat>
            <c:strRef>
              <c:f>'R Std.Monat'!$B$3:$M$3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Std.Monat'!$B$8:$M$8</c:f>
              <c:numCache>
                <c:formatCode>#,##0.00;\-#,##0.00;;@</c:formatCode>
                <c:ptCount val="12"/>
                <c:pt idx="0">
                  <c:v>0</c:v>
                </c:pt>
                <c:pt idx="1">
                  <c:v>0</c:v>
                </c:pt>
                <c:pt idx="2">
                  <c:v>0</c:v>
                </c:pt>
                <c:pt idx="3">
                  <c:v>0</c:v>
                </c:pt>
                <c:pt idx="4">
                  <c:v>0</c:v>
                </c:pt>
                <c:pt idx="5">
                  <c:v>0</c:v>
                </c:pt>
                <c:pt idx="6">
                  <c:v>10.5</c:v>
                </c:pt>
                <c:pt idx="7">
                  <c:v>0</c:v>
                </c:pt>
                <c:pt idx="8">
                  <c:v>0</c:v>
                </c:pt>
                <c:pt idx="9">
                  <c:v>0</c:v>
                </c:pt>
                <c:pt idx="10">
                  <c:v>0</c:v>
                </c:pt>
                <c:pt idx="11">
                  <c:v>0</c:v>
                </c:pt>
              </c:numCache>
            </c:numRef>
          </c:val>
          <c:extLst>
            <c:ext xmlns:c16="http://schemas.microsoft.com/office/drawing/2014/chart" uri="{C3380CC4-5D6E-409C-BE32-E72D297353CC}">
              <c16:uniqueId val="{00000004-8FF4-4D2A-9CA8-32AA1E9B0AE6}"/>
            </c:ext>
          </c:extLst>
        </c:ser>
        <c:ser>
          <c:idx val="5"/>
          <c:order val="5"/>
          <c:tx>
            <c:strRef>
              <c:f>'R Std.Monat'!$A$9</c:f>
              <c:strCache>
                <c:ptCount val="1"/>
                <c:pt idx="0">
                  <c:v>Projekt G</c:v>
                </c:pt>
              </c:strCache>
            </c:strRef>
          </c:tx>
          <c:spPr>
            <a:solidFill>
              <a:schemeClr val="accent6"/>
            </a:solidFill>
            <a:ln>
              <a:noFill/>
            </a:ln>
            <a:effectLst/>
          </c:spPr>
          <c:invertIfNegative val="0"/>
          <c:cat>
            <c:strRef>
              <c:f>'R Std.Monat'!$B$3:$M$3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Std.Monat'!$B$9:$M$9</c:f>
              <c:numCache>
                <c:formatCode>#,##0.00;\-#,##0.00;;@</c:formatCode>
                <c:ptCount val="12"/>
                <c:pt idx="0">
                  <c:v>0</c:v>
                </c:pt>
                <c:pt idx="1">
                  <c:v>0</c:v>
                </c:pt>
                <c:pt idx="2">
                  <c:v>0</c:v>
                </c:pt>
                <c:pt idx="3">
                  <c:v>0</c:v>
                </c:pt>
                <c:pt idx="4">
                  <c:v>0</c:v>
                </c:pt>
                <c:pt idx="5">
                  <c:v>0</c:v>
                </c:pt>
                <c:pt idx="6">
                  <c:v>0</c:v>
                </c:pt>
                <c:pt idx="7">
                  <c:v>0</c:v>
                </c:pt>
                <c:pt idx="8">
                  <c:v>3.5</c:v>
                </c:pt>
                <c:pt idx="9">
                  <c:v>0</c:v>
                </c:pt>
                <c:pt idx="10">
                  <c:v>0</c:v>
                </c:pt>
                <c:pt idx="11">
                  <c:v>0</c:v>
                </c:pt>
              </c:numCache>
            </c:numRef>
          </c:val>
          <c:extLst>
            <c:ext xmlns:c16="http://schemas.microsoft.com/office/drawing/2014/chart" uri="{C3380CC4-5D6E-409C-BE32-E72D297353CC}">
              <c16:uniqueId val="{00000005-8FF4-4D2A-9CA8-32AA1E9B0AE6}"/>
            </c:ext>
          </c:extLst>
        </c:ser>
        <c:ser>
          <c:idx val="6"/>
          <c:order val="6"/>
          <c:tx>
            <c:strRef>
              <c:f>'R Std.Monat'!$A$10</c:f>
              <c:strCache>
                <c:ptCount val="1"/>
                <c:pt idx="0">
                  <c:v>0</c:v>
                </c:pt>
              </c:strCache>
            </c:strRef>
          </c:tx>
          <c:spPr>
            <a:solidFill>
              <a:schemeClr val="accent1">
                <a:lumMod val="60000"/>
              </a:schemeClr>
            </a:solidFill>
            <a:ln>
              <a:noFill/>
            </a:ln>
            <a:effectLst/>
          </c:spPr>
          <c:invertIfNegative val="0"/>
          <c:cat>
            <c:strRef>
              <c:f>'R Std.Monat'!$B$3:$M$3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Std.Monat'!$B$10:$M$10</c:f>
              <c:numCache>
                <c:formatCode>#,##0.00;\-#,##0.00;;@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FF4-4D2A-9CA8-32AA1E9B0AE6}"/>
            </c:ext>
          </c:extLst>
        </c:ser>
        <c:ser>
          <c:idx val="7"/>
          <c:order val="7"/>
          <c:tx>
            <c:strRef>
              <c:f>'R Std.Monat'!$A$11</c:f>
              <c:strCache>
                <c:ptCount val="1"/>
                <c:pt idx="0">
                  <c:v>0</c:v>
                </c:pt>
              </c:strCache>
            </c:strRef>
          </c:tx>
          <c:spPr>
            <a:solidFill>
              <a:schemeClr val="accent2">
                <a:lumMod val="60000"/>
              </a:schemeClr>
            </a:solidFill>
            <a:ln>
              <a:noFill/>
            </a:ln>
            <a:effectLst/>
          </c:spPr>
          <c:invertIfNegative val="0"/>
          <c:cat>
            <c:strRef>
              <c:f>'R Std.Monat'!$B$3:$M$3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Std.Monat'!$B$11:$M$11</c:f>
              <c:numCache>
                <c:formatCode>#,##0.00;\-#,##0.00;;@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FF4-4D2A-9CA8-32AA1E9B0AE6}"/>
            </c:ext>
          </c:extLst>
        </c:ser>
        <c:dLbls>
          <c:showLegendKey val="0"/>
          <c:showVal val="0"/>
          <c:showCatName val="0"/>
          <c:showSerName val="0"/>
          <c:showPercent val="0"/>
          <c:showBubbleSize val="0"/>
        </c:dLbls>
        <c:gapWidth val="150"/>
        <c:overlap val="100"/>
        <c:axId val="825254072"/>
        <c:axId val="656467368"/>
      </c:barChart>
      <c:catAx>
        <c:axId val="82525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467368"/>
        <c:crosses val="autoZero"/>
        <c:auto val="1"/>
        <c:lblAlgn val="ctr"/>
        <c:lblOffset val="100"/>
        <c:noMultiLvlLbl val="0"/>
      </c:catAx>
      <c:valAx>
        <c:axId val="656467368"/>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5254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Summe EUR pro Monat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 EUR.Monat'!$A$4</c:f>
              <c:strCache>
                <c:ptCount val="1"/>
                <c:pt idx="0">
                  <c:v>Internes</c:v>
                </c:pt>
              </c:strCache>
            </c:strRef>
          </c:tx>
          <c:spPr>
            <a:solidFill>
              <a:schemeClr val="accent1"/>
            </a:solidFill>
            <a:ln>
              <a:noFill/>
            </a:ln>
            <a:effectLst/>
          </c:spPr>
          <c:invertIfNegative val="0"/>
          <c:cat>
            <c:strRef>
              <c:f>'R EUR.Monat'!$B$3:$M$3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EUR.Monat'!$B$4:$M$4</c:f>
              <c:numCache>
                <c:formatCode>_-* #,##0.00\ "€"_-;\-* #,##0.00\ "€"_-;_-* "-"??\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842-4DC5-A67B-7A9302FD4AE2}"/>
            </c:ext>
          </c:extLst>
        </c:ser>
        <c:ser>
          <c:idx val="1"/>
          <c:order val="1"/>
          <c:tx>
            <c:strRef>
              <c:f>'R EUR.Monat'!$A$5</c:f>
              <c:strCache>
                <c:ptCount val="1"/>
                <c:pt idx="0">
                  <c:v>Vertrieb</c:v>
                </c:pt>
              </c:strCache>
            </c:strRef>
          </c:tx>
          <c:spPr>
            <a:solidFill>
              <a:schemeClr val="accent2"/>
            </a:solidFill>
            <a:ln>
              <a:noFill/>
            </a:ln>
            <a:effectLst/>
          </c:spPr>
          <c:invertIfNegative val="0"/>
          <c:cat>
            <c:strRef>
              <c:f>'R EUR.Monat'!$B$3:$M$3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EUR.Monat'!$B$5:$M$5</c:f>
              <c:numCache>
                <c:formatCode>_-* #,##0.00\ "€"_-;\-* #,##0.00\ "€"_-;_-* "-"??\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842-4DC5-A67B-7A9302FD4AE2}"/>
            </c:ext>
          </c:extLst>
        </c:ser>
        <c:ser>
          <c:idx val="2"/>
          <c:order val="2"/>
          <c:tx>
            <c:strRef>
              <c:f>'R EUR.Monat'!$A$6</c:f>
              <c:strCache>
                <c:ptCount val="1"/>
                <c:pt idx="0">
                  <c:v>Netzwerk</c:v>
                </c:pt>
              </c:strCache>
            </c:strRef>
          </c:tx>
          <c:spPr>
            <a:solidFill>
              <a:schemeClr val="accent3"/>
            </a:solidFill>
            <a:ln>
              <a:noFill/>
            </a:ln>
            <a:effectLst/>
          </c:spPr>
          <c:invertIfNegative val="0"/>
          <c:cat>
            <c:strRef>
              <c:f>'R EUR.Monat'!$B$3:$M$3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EUR.Monat'!$B$6:$M$6</c:f>
              <c:numCache>
                <c:formatCode>_-* #,##0.00\ "€"_-;\-* #,##0.00\ "€"_-;_-* "-"??\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842-4DC5-A67B-7A9302FD4AE2}"/>
            </c:ext>
          </c:extLst>
        </c:ser>
        <c:ser>
          <c:idx val="3"/>
          <c:order val="3"/>
          <c:tx>
            <c:strRef>
              <c:f>'R EUR.Monat'!$A$7</c:f>
              <c:strCache>
                <c:ptCount val="1"/>
                <c:pt idx="0">
                  <c:v>Projekt A</c:v>
                </c:pt>
              </c:strCache>
            </c:strRef>
          </c:tx>
          <c:spPr>
            <a:solidFill>
              <a:schemeClr val="accent4"/>
            </a:solidFill>
            <a:ln>
              <a:noFill/>
            </a:ln>
            <a:effectLst/>
          </c:spPr>
          <c:invertIfNegative val="0"/>
          <c:cat>
            <c:strRef>
              <c:f>'R EUR.Monat'!$B$3:$M$3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EUR.Monat'!$B$7:$M$7</c:f>
              <c:numCache>
                <c:formatCode>_-* #,##0.00\ "€"_-;\-* #,##0.00\ "€"_-;_-* "-"??\ "€"_-;_-@_-</c:formatCode>
                <c:ptCount val="12"/>
                <c:pt idx="0">
                  <c:v>0</c:v>
                </c:pt>
                <c:pt idx="1">
                  <c:v>3082.5</c:v>
                </c:pt>
                <c:pt idx="2">
                  <c:v>0</c:v>
                </c:pt>
                <c:pt idx="3">
                  <c:v>0</c:v>
                </c:pt>
                <c:pt idx="4">
                  <c:v>0</c:v>
                </c:pt>
                <c:pt idx="5">
                  <c:v>0</c:v>
                </c:pt>
                <c:pt idx="6">
                  <c:v>1957.5</c:v>
                </c:pt>
                <c:pt idx="7">
                  <c:v>0</c:v>
                </c:pt>
                <c:pt idx="8">
                  <c:v>0</c:v>
                </c:pt>
                <c:pt idx="9">
                  <c:v>0</c:v>
                </c:pt>
                <c:pt idx="10">
                  <c:v>0</c:v>
                </c:pt>
                <c:pt idx="11">
                  <c:v>0</c:v>
                </c:pt>
              </c:numCache>
            </c:numRef>
          </c:val>
          <c:extLst>
            <c:ext xmlns:c16="http://schemas.microsoft.com/office/drawing/2014/chart" uri="{C3380CC4-5D6E-409C-BE32-E72D297353CC}">
              <c16:uniqueId val="{00000003-1842-4DC5-A67B-7A9302FD4AE2}"/>
            </c:ext>
          </c:extLst>
        </c:ser>
        <c:ser>
          <c:idx val="4"/>
          <c:order val="4"/>
          <c:tx>
            <c:strRef>
              <c:f>'R EUR.Monat'!$A$8</c:f>
              <c:strCache>
                <c:ptCount val="1"/>
                <c:pt idx="0">
                  <c:v>Projekt B</c:v>
                </c:pt>
              </c:strCache>
            </c:strRef>
          </c:tx>
          <c:spPr>
            <a:solidFill>
              <a:schemeClr val="accent5"/>
            </a:solidFill>
            <a:ln>
              <a:noFill/>
            </a:ln>
            <a:effectLst/>
          </c:spPr>
          <c:invertIfNegative val="0"/>
          <c:cat>
            <c:strRef>
              <c:f>'R EUR.Monat'!$B$3:$M$3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EUR.Monat'!$B$8:$M$8</c:f>
              <c:numCache>
                <c:formatCode>_-* #,##0.00\ "€"_-;\-* #,##0.00\ "€"_-;_-* "-"??\ "€"_-;_-@_-</c:formatCode>
                <c:ptCount val="12"/>
                <c:pt idx="0">
                  <c:v>0</c:v>
                </c:pt>
                <c:pt idx="1">
                  <c:v>0</c:v>
                </c:pt>
                <c:pt idx="2">
                  <c:v>0</c:v>
                </c:pt>
                <c:pt idx="3">
                  <c:v>0</c:v>
                </c:pt>
                <c:pt idx="4">
                  <c:v>0</c:v>
                </c:pt>
                <c:pt idx="5">
                  <c:v>0</c:v>
                </c:pt>
                <c:pt idx="6">
                  <c:v>1155</c:v>
                </c:pt>
                <c:pt idx="7">
                  <c:v>0</c:v>
                </c:pt>
                <c:pt idx="8">
                  <c:v>0</c:v>
                </c:pt>
                <c:pt idx="9">
                  <c:v>0</c:v>
                </c:pt>
                <c:pt idx="10">
                  <c:v>0</c:v>
                </c:pt>
                <c:pt idx="11">
                  <c:v>0</c:v>
                </c:pt>
              </c:numCache>
            </c:numRef>
          </c:val>
          <c:extLst>
            <c:ext xmlns:c16="http://schemas.microsoft.com/office/drawing/2014/chart" uri="{C3380CC4-5D6E-409C-BE32-E72D297353CC}">
              <c16:uniqueId val="{00000004-1842-4DC5-A67B-7A9302FD4AE2}"/>
            </c:ext>
          </c:extLst>
        </c:ser>
        <c:ser>
          <c:idx val="5"/>
          <c:order val="5"/>
          <c:tx>
            <c:strRef>
              <c:f>'R EUR.Monat'!$A$9</c:f>
              <c:strCache>
                <c:ptCount val="1"/>
                <c:pt idx="0">
                  <c:v>Projekt G</c:v>
                </c:pt>
              </c:strCache>
            </c:strRef>
          </c:tx>
          <c:spPr>
            <a:solidFill>
              <a:schemeClr val="accent6"/>
            </a:solidFill>
            <a:ln>
              <a:noFill/>
            </a:ln>
            <a:effectLst/>
          </c:spPr>
          <c:invertIfNegative val="0"/>
          <c:cat>
            <c:strRef>
              <c:f>'R EUR.Monat'!$B$3:$M$3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EUR.Monat'!$B$9:$M$9</c:f>
              <c:numCache>
                <c:formatCode>_-* #,##0.00\ "€"_-;\-* #,##0.00\ "€"_-;_-* "-"??\ "€"_-;_-@_-</c:formatCode>
                <c:ptCount val="12"/>
                <c:pt idx="0">
                  <c:v>0</c:v>
                </c:pt>
                <c:pt idx="1">
                  <c:v>0</c:v>
                </c:pt>
                <c:pt idx="2">
                  <c:v>0</c:v>
                </c:pt>
                <c:pt idx="3">
                  <c:v>0</c:v>
                </c:pt>
                <c:pt idx="4">
                  <c:v>0</c:v>
                </c:pt>
                <c:pt idx="5">
                  <c:v>0</c:v>
                </c:pt>
                <c:pt idx="6">
                  <c:v>0</c:v>
                </c:pt>
                <c:pt idx="7">
                  <c:v>0</c:v>
                </c:pt>
                <c:pt idx="8">
                  <c:v>70</c:v>
                </c:pt>
                <c:pt idx="9">
                  <c:v>0</c:v>
                </c:pt>
                <c:pt idx="10">
                  <c:v>0</c:v>
                </c:pt>
                <c:pt idx="11">
                  <c:v>0</c:v>
                </c:pt>
              </c:numCache>
            </c:numRef>
          </c:val>
          <c:extLst>
            <c:ext xmlns:c16="http://schemas.microsoft.com/office/drawing/2014/chart" uri="{C3380CC4-5D6E-409C-BE32-E72D297353CC}">
              <c16:uniqueId val="{00000005-1842-4DC5-A67B-7A9302FD4AE2}"/>
            </c:ext>
          </c:extLst>
        </c:ser>
        <c:ser>
          <c:idx val="6"/>
          <c:order val="6"/>
          <c:tx>
            <c:strRef>
              <c:f>'R EUR.Monat'!$A$10</c:f>
              <c:strCache>
                <c:ptCount val="1"/>
                <c:pt idx="0">
                  <c:v>0</c:v>
                </c:pt>
              </c:strCache>
            </c:strRef>
          </c:tx>
          <c:spPr>
            <a:solidFill>
              <a:schemeClr val="accent1">
                <a:lumMod val="60000"/>
              </a:schemeClr>
            </a:solidFill>
            <a:ln>
              <a:noFill/>
            </a:ln>
            <a:effectLst/>
          </c:spPr>
          <c:invertIfNegative val="0"/>
          <c:cat>
            <c:strRef>
              <c:f>'R EUR.Monat'!$B$3:$M$3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EUR.Monat'!$B$10:$M$10</c:f>
              <c:numCache>
                <c:formatCode>_-* #,##0.00\ "€"_-;\-* #,##0.00\ "€"_-;_-* "-"??\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842-4DC5-A67B-7A9302FD4AE2}"/>
            </c:ext>
          </c:extLst>
        </c:ser>
        <c:ser>
          <c:idx val="7"/>
          <c:order val="7"/>
          <c:tx>
            <c:strRef>
              <c:f>'R EUR.Monat'!$A$11</c:f>
              <c:strCache>
                <c:ptCount val="1"/>
                <c:pt idx="0">
                  <c:v>0</c:v>
                </c:pt>
              </c:strCache>
            </c:strRef>
          </c:tx>
          <c:spPr>
            <a:solidFill>
              <a:schemeClr val="accent2">
                <a:lumMod val="60000"/>
              </a:schemeClr>
            </a:solidFill>
            <a:ln>
              <a:noFill/>
            </a:ln>
            <a:effectLst/>
          </c:spPr>
          <c:invertIfNegative val="0"/>
          <c:cat>
            <c:strRef>
              <c:f>'R EUR.Monat'!$B$3:$M$3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'R EUR.Monat'!$B$11:$M$11</c:f>
              <c:numCache>
                <c:formatCode>_-* #,##0.00\ "€"_-;\-* #,##0.00\ "€"_-;_-* "-"??\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1842-4DC5-A67B-7A9302FD4AE2}"/>
            </c:ext>
          </c:extLst>
        </c:ser>
        <c:dLbls>
          <c:showLegendKey val="0"/>
          <c:showVal val="0"/>
          <c:showCatName val="0"/>
          <c:showSerName val="0"/>
          <c:showPercent val="0"/>
          <c:showBubbleSize val="0"/>
        </c:dLbls>
        <c:gapWidth val="150"/>
        <c:overlap val="100"/>
        <c:axId val="825254072"/>
        <c:axId val="656467368"/>
      </c:barChart>
      <c:catAx>
        <c:axId val="82525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467368"/>
        <c:crosses val="autoZero"/>
        <c:auto val="1"/>
        <c:lblAlgn val="ctr"/>
        <c:lblOffset val="100"/>
        <c:noMultiLvlLbl val="0"/>
      </c:catAx>
      <c:valAx>
        <c:axId val="656467368"/>
        <c:scaling>
          <c:orientation val="minMax"/>
        </c:scaling>
        <c:delete val="0"/>
        <c:axPos val="l"/>
        <c:majorGridlines>
          <c:spPr>
            <a:ln w="9525" cap="flat" cmpd="sng" algn="ctr">
              <a:solidFill>
                <a:schemeClr val="tx1">
                  <a:lumMod val="15000"/>
                  <a:lumOff val="85000"/>
                </a:schemeClr>
              </a:solidFill>
              <a:round/>
            </a:ln>
            <a:effectLst/>
          </c:spPr>
        </c:majorGridlines>
        <c:numFmt formatCode="_-* #,##0.00\ &quot;€&quot;_-;\-* #,##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5254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[Arbeitszeiterfassung-Excel-Vorlage-DE-Capterra.xlsx]R Std.Tagessicht!PivotTable2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tägliche Stunden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 Std.Tagessicht'!$B$4</c:f>
              <c:strCache>
                <c:ptCount val="1"/>
                <c:pt idx="0">
                  <c:v>Total</c:v>
                </c:pt>
              </c:strCache>
            </c:strRef>
          </c:tx>
          <c:spPr>
            <a:solidFill>
              <a:schemeClr val="accent1"/>
            </a:solidFill>
            <a:ln>
              <a:noFill/>
            </a:ln>
            <a:effectLst/>
          </c:spPr>
          <c:invertIfNegative val="0"/>
          <c:cat>
            <c:strRef>
              <c:f>'R Std.Tagessicht'!$A$5:$A$17</c:f>
              <c:strCache>
                <c:ptCount val="12"/>
                <c:pt idx="0">
                  <c:v>2/1/21</c:v>
                </c:pt>
                <c:pt idx="1">
                  <c:v>2/2/21</c:v>
                </c:pt>
                <c:pt idx="2">
                  <c:v>2/3/21</c:v>
                </c:pt>
                <c:pt idx="3">
                  <c:v>2/4/21</c:v>
                </c:pt>
                <c:pt idx="4">
                  <c:v>2/5/21</c:v>
                </c:pt>
                <c:pt idx="5">
                  <c:v>2/8/21</c:v>
                </c:pt>
                <c:pt idx="6">
                  <c:v>7/22/21</c:v>
                </c:pt>
                <c:pt idx="7">
                  <c:v>7/23/21</c:v>
                </c:pt>
                <c:pt idx="8">
                  <c:v>7/26/21</c:v>
                </c:pt>
                <c:pt idx="9">
                  <c:v>7/27/21</c:v>
                </c:pt>
                <c:pt idx="10">
                  <c:v>7/28/21</c:v>
                </c:pt>
                <c:pt idx="11">
                  <c:v>9/13/21</c:v>
                </c:pt>
              </c:strCache>
            </c:strRef>
          </c:cat>
          <c:val>
            <c:numRef>
              <c:f>'R Std.Tagessicht'!$B$5:$B$17</c:f>
              <c:numCache>
                <c:formatCode>General</c:formatCode>
                <c:ptCount val="12"/>
                <c:pt idx="0">
                  <c:v>1.25</c:v>
                </c:pt>
                <c:pt idx="1">
                  <c:v>4</c:v>
                </c:pt>
                <c:pt idx="2">
                  <c:v>4</c:v>
                </c:pt>
                <c:pt idx="3">
                  <c:v>4</c:v>
                </c:pt>
                <c:pt idx="4">
                  <c:v>4</c:v>
                </c:pt>
                <c:pt idx="5">
                  <c:v>4</c:v>
                </c:pt>
                <c:pt idx="6">
                  <c:v>2.75</c:v>
                </c:pt>
                <c:pt idx="7">
                  <c:v>8.5</c:v>
                </c:pt>
                <c:pt idx="8">
                  <c:v>8</c:v>
                </c:pt>
                <c:pt idx="9">
                  <c:v>8</c:v>
                </c:pt>
                <c:pt idx="10">
                  <c:v>10</c:v>
                </c:pt>
                <c:pt idx="11">
                  <c:v>3.5</c:v>
                </c:pt>
              </c:numCache>
            </c:numRef>
          </c:val>
          <c:extLst>
            <c:ext xmlns:c16="http://schemas.microsoft.com/office/drawing/2014/chart" uri="{C3380CC4-5D6E-409C-BE32-E72D297353CC}">
              <c16:uniqueId val="{00000002-D302-4588-876D-A6A7F5EDADF8}"/>
            </c:ext>
          </c:extLst>
        </c:ser>
        <c:dLbls>
          <c:showLegendKey val="0"/>
          <c:showVal val="0"/>
          <c:showCatName val="0"/>
          <c:showSerName val="0"/>
          <c:showPercent val="0"/>
          <c:showBubbleSize val="0"/>
        </c:dLbls>
        <c:gapWidth val="219"/>
        <c:overlap val="-27"/>
        <c:axId val="912953400"/>
        <c:axId val="912953728"/>
      </c:barChart>
      <c:catAx>
        <c:axId val="91295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953728"/>
        <c:crosses val="autoZero"/>
        <c:auto val="1"/>
        <c:lblAlgn val="ctr"/>
        <c:lblOffset val="100"/>
        <c:noMultiLvlLbl val="0"/>
      </c:catAx>
      <c:valAx>
        <c:axId val="912953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953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586740</xdr:colOff>
      <xdr:row>26</xdr:row>
      <xdr:rowOff>114300</xdr:rowOff>
    </xdr:from>
    <xdr:to>
      <xdr:col>6</xdr:col>
      <xdr:colOff>53340</xdr:colOff>
      <xdr:row>33</xdr:row>
      <xdr:rowOff>137160</xdr:rowOff>
    </xdr:to>
    <xdr:sp macro="" textlink="">
      <xdr:nvSpPr>
        <xdr:cNvPr id="2" name="Textfeld 1">
          <a:extLst>
            <a:ext uri="{FF2B5EF4-FFF2-40B4-BE49-F238E27FC236}">
              <a16:creationId xmlns:a16="http://schemas.microsoft.com/office/drawing/2014/main" id="{DF8B224D-B9F4-424A-8028-84147DA0936E}"/>
            </a:ext>
          </a:extLst>
        </xdr:cNvPr>
        <xdr:cNvSpPr txBox="1"/>
      </xdr:nvSpPr>
      <xdr:spPr>
        <a:xfrm>
          <a:off x="586740" y="3535680"/>
          <a:ext cx="5151120" cy="124968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aseline="0">
              <a:latin typeface="Arial" panose="020B0604020202020204" pitchFamily="34" charset="0"/>
              <a:cs typeface="Arial" panose="020B0604020202020204" pitchFamily="34" charset="0"/>
            </a:rPr>
            <a:t>Tragen Sie hier Ihre individuellen Basisdaten ein.</a:t>
          </a:r>
          <a:br>
            <a:rPr lang="de-DE" sz="1100" baseline="0">
              <a:latin typeface="Arial" panose="020B0604020202020204" pitchFamily="34" charset="0"/>
              <a:cs typeface="Arial" panose="020B0604020202020204" pitchFamily="34" charset="0"/>
            </a:rPr>
          </a:br>
          <a:br>
            <a:rPr lang="de-DE" sz="1100" baseline="0">
              <a:latin typeface="Arial" panose="020B0604020202020204" pitchFamily="34" charset="0"/>
              <a:cs typeface="Arial" panose="020B0604020202020204" pitchFamily="34" charset="0"/>
            </a:rPr>
          </a:br>
          <a:r>
            <a:rPr lang="de-DE" sz="1100" baseline="0">
              <a:latin typeface="Arial" panose="020B0604020202020204" pitchFamily="34" charset="0"/>
              <a:cs typeface="Arial" panose="020B0604020202020204" pitchFamily="34" charset="0"/>
            </a:rPr>
            <a:t>Alle darauf aufbauenden Auswertungen sind so ausgelegt, dass pro Kalenderjahr eine eigene Datei verwendet wird.</a:t>
          </a:r>
        </a:p>
        <a:p>
          <a:endParaRPr lang="de-DE" sz="1100" baseline="0">
            <a:latin typeface="Arial" panose="020B0604020202020204" pitchFamily="34" charset="0"/>
            <a:cs typeface="Arial" panose="020B0604020202020204" pitchFamily="34" charset="0"/>
          </a:endParaRPr>
        </a:p>
        <a:p>
          <a:r>
            <a:rPr lang="de-DE" sz="1100" baseline="0">
              <a:latin typeface="Arial" panose="020B0604020202020204" pitchFamily="34" charset="0"/>
              <a:cs typeface="Arial" panose="020B0604020202020204" pitchFamily="34" charset="0"/>
            </a:rPr>
            <a:t>Die Listen können beliebig erweitert werden.</a:t>
          </a:r>
        </a:p>
        <a:p>
          <a:r>
            <a:rPr lang="de-DE" sz="1100" baseline="0">
              <a:latin typeface="Arial" panose="020B0604020202020204" pitchFamily="34" charset="0"/>
              <a:cs typeface="Arial" panose="020B0604020202020204" pitchFamily="34" charset="0"/>
            </a:rPr>
            <a:t>Am Besten kopieren Sie die Vorgängerzeile und passen dann die Werte an.</a:t>
          </a:r>
        </a:p>
        <a:p>
          <a:endParaRPr lang="de-DE" sz="1100">
            <a:latin typeface="Arial" panose="020B0604020202020204" pitchFamily="34" charset="0"/>
            <a:cs typeface="Arial" panose="020B0604020202020204" pitchFamily="34" charset="0"/>
          </a:endParaRPr>
        </a:p>
      </xdr:txBody>
    </xdr:sp>
    <xdr:clientData/>
  </xdr:twoCellAnchor>
  <xdr:twoCellAnchor editAs="oneCell">
    <xdr:from>
      <xdr:col>0</xdr:col>
      <xdr:colOff>68580</xdr:colOff>
      <xdr:row>0</xdr:row>
      <xdr:rowOff>129540</xdr:rowOff>
    </xdr:from>
    <xdr:to>
      <xdr:col>3</xdr:col>
      <xdr:colOff>411259</xdr:colOff>
      <xdr:row>4</xdr:row>
      <xdr:rowOff>93489</xdr:rowOff>
    </xdr:to>
    <xdr:pic>
      <xdr:nvPicPr>
        <xdr:cNvPr id="7" name="Grafik 6">
          <a:extLst>
            <a:ext uri="{FF2B5EF4-FFF2-40B4-BE49-F238E27FC236}">
              <a16:creationId xmlns:a16="http://schemas.microsoft.com/office/drawing/2014/main" id="{D68D4BD4-5F6F-4672-86E0-C1D2CAC67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 y="129540"/>
          <a:ext cx="2887759" cy="664989"/>
        </a:xfrm>
        <a:prstGeom prst="rect">
          <a:avLst/>
        </a:prstGeom>
      </xdr:spPr>
    </xdr:pic>
    <xdr:clientData/>
  </xdr:twoCellAnchor>
  <xdr:twoCellAnchor>
    <xdr:from>
      <xdr:col>4</xdr:col>
      <xdr:colOff>868680</xdr:colOff>
      <xdr:row>7</xdr:row>
      <xdr:rowOff>45720</xdr:rowOff>
    </xdr:from>
    <xdr:to>
      <xdr:col>10</xdr:col>
      <xdr:colOff>160020</xdr:colOff>
      <xdr:row>8</xdr:row>
      <xdr:rowOff>114300</xdr:rowOff>
    </xdr:to>
    <xdr:sp macro="" textlink="">
      <xdr:nvSpPr>
        <xdr:cNvPr id="4" name="Textfeld 3">
          <a:extLst>
            <a:ext uri="{FF2B5EF4-FFF2-40B4-BE49-F238E27FC236}">
              <a16:creationId xmlns:a16="http://schemas.microsoft.com/office/drawing/2014/main" id="{D4062A69-F989-48EF-A78B-0BBFF054A265}"/>
            </a:ext>
          </a:extLst>
        </xdr:cNvPr>
        <xdr:cNvSpPr txBox="1"/>
      </xdr:nvSpPr>
      <xdr:spPr>
        <a:xfrm>
          <a:off x="4671060" y="1295400"/>
          <a:ext cx="4305300" cy="26670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aseline="0">
              <a:latin typeface="Arial" panose="020B0604020202020204" pitchFamily="34" charset="0"/>
              <a:cs typeface="Arial" panose="020B0604020202020204" pitchFamily="34" charset="0"/>
            </a:rPr>
            <a:t>Urlaubstage im Kalenderjahr (inkl. Resturlaub des Vorjahres)</a:t>
          </a:r>
        </a:p>
        <a:p>
          <a:endParaRPr lang="de-DE" sz="1100">
            <a:latin typeface="Arial" panose="020B0604020202020204" pitchFamily="34" charset="0"/>
            <a:cs typeface="Arial" panose="020B0604020202020204" pitchFamily="34" charset="0"/>
          </a:endParaRPr>
        </a:p>
      </xdr:txBody>
    </xdr:sp>
    <xdr:clientData/>
  </xdr:twoCellAnchor>
  <xdr:twoCellAnchor>
    <xdr:from>
      <xdr:col>4</xdr:col>
      <xdr:colOff>144780</xdr:colOff>
      <xdr:row>8</xdr:row>
      <xdr:rowOff>83820</xdr:rowOff>
    </xdr:from>
    <xdr:to>
      <xdr:col>4</xdr:col>
      <xdr:colOff>800100</xdr:colOff>
      <xdr:row>8</xdr:row>
      <xdr:rowOff>83820</xdr:rowOff>
    </xdr:to>
    <xdr:cxnSp macro="">
      <xdr:nvCxnSpPr>
        <xdr:cNvPr id="5" name="Gerade Verbindung mit Pfeil 4">
          <a:extLst>
            <a:ext uri="{FF2B5EF4-FFF2-40B4-BE49-F238E27FC236}">
              <a16:creationId xmlns:a16="http://schemas.microsoft.com/office/drawing/2014/main" id="{88933BE8-4818-4612-AB63-EBBCE3F6FB44}"/>
            </a:ext>
          </a:extLst>
        </xdr:cNvPr>
        <xdr:cNvCxnSpPr/>
      </xdr:nvCxnSpPr>
      <xdr:spPr>
        <a:xfrm flipH="1">
          <a:off x="3947160" y="1531620"/>
          <a:ext cx="655320" cy="0"/>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144780</xdr:colOff>
      <xdr:row>26</xdr:row>
      <xdr:rowOff>114300</xdr:rowOff>
    </xdr:from>
    <xdr:to>
      <xdr:col>18</xdr:col>
      <xdr:colOff>68580</xdr:colOff>
      <xdr:row>37</xdr:row>
      <xdr:rowOff>129540</xdr:rowOff>
    </xdr:to>
    <xdr:sp macro="" textlink="">
      <xdr:nvSpPr>
        <xdr:cNvPr id="9" name="Textfeld 8">
          <a:extLst>
            <a:ext uri="{FF2B5EF4-FFF2-40B4-BE49-F238E27FC236}">
              <a16:creationId xmlns:a16="http://schemas.microsoft.com/office/drawing/2014/main" id="{CA9EC33C-A0F8-4281-B15F-388F8FBE7AB9}"/>
            </a:ext>
          </a:extLst>
        </xdr:cNvPr>
        <xdr:cNvSpPr txBox="1"/>
      </xdr:nvSpPr>
      <xdr:spPr>
        <a:xfrm>
          <a:off x="5829300" y="3733800"/>
          <a:ext cx="7932420" cy="194310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rgbClr val="244D80"/>
              </a:solidFill>
              <a:latin typeface="Arial" panose="020B0604020202020204" pitchFamily="34" charset="0"/>
              <a:ea typeface="+mn-ea"/>
              <a:cs typeface="Arial" panose="020B0604020202020204" pitchFamily="34" charset="0"/>
            </a:rPr>
            <a:t>Kurzbeschreibung der Tabellenblätter</a:t>
          </a:r>
          <a:r>
            <a:rPr lang="de-DE" sz="1100" b="1" baseline="0">
              <a:latin typeface="Arial" panose="020B0604020202020204" pitchFamily="34" charset="0"/>
              <a:cs typeface="Arial" panose="020B0604020202020204" pitchFamily="34" charset="0"/>
            </a:rPr>
            <a:t>:</a:t>
          </a:r>
        </a:p>
        <a:p>
          <a:r>
            <a:rPr lang="de-DE" sz="1100" baseline="0">
              <a:latin typeface="Arial" panose="020B0604020202020204" pitchFamily="34" charset="0"/>
              <a:cs typeface="Arial" panose="020B0604020202020204" pitchFamily="34" charset="0"/>
            </a:rPr>
            <a:t>* </a:t>
          </a:r>
          <a:r>
            <a:rPr lang="de-DE" sz="1100" b="1" baseline="0">
              <a:solidFill>
                <a:sysClr val="windowText" lastClr="000000"/>
              </a:solidFill>
              <a:latin typeface="Arial" panose="020B0604020202020204" pitchFamily="34" charset="0"/>
              <a:cs typeface="Arial" panose="020B0604020202020204" pitchFamily="34" charset="0"/>
            </a:rPr>
            <a:t>Zeiterfassung</a:t>
          </a:r>
          <a:r>
            <a:rPr lang="de-DE" sz="1100" baseline="0">
              <a:solidFill>
                <a:sysClr val="windowText" lastClr="000000"/>
              </a:solidFill>
              <a:latin typeface="Arial" panose="020B0604020202020204" pitchFamily="34" charset="0"/>
              <a:cs typeface="Arial" panose="020B0604020202020204" pitchFamily="34" charset="0"/>
            </a:rPr>
            <a:t>:	Eintragen der täglichen Stunden</a:t>
          </a:r>
        </a:p>
        <a:p>
          <a:r>
            <a:rPr lang="de-DE" sz="1100" baseline="0">
              <a:solidFill>
                <a:sysClr val="windowText" lastClr="000000"/>
              </a:solidFill>
              <a:latin typeface="Arial" panose="020B0604020202020204" pitchFamily="34" charset="0"/>
              <a:cs typeface="Arial" panose="020B0604020202020204" pitchFamily="34" charset="0"/>
            </a:rPr>
            <a:t>* </a:t>
          </a:r>
          <a:r>
            <a:rPr lang="de-DE" sz="1100" b="1" baseline="0">
              <a:solidFill>
                <a:sysClr val="windowText" lastClr="000000"/>
              </a:solidFill>
              <a:latin typeface="Arial" panose="020B0604020202020204" pitchFamily="34" charset="0"/>
              <a:cs typeface="Arial" panose="020B0604020202020204" pitchFamily="34" charset="0"/>
            </a:rPr>
            <a:t>Abwesenheitstage</a:t>
          </a:r>
          <a:r>
            <a:rPr lang="de-DE" sz="1100" baseline="0">
              <a:solidFill>
                <a:sysClr val="windowText" lastClr="000000"/>
              </a:solidFill>
              <a:latin typeface="Arial" panose="020B0604020202020204" pitchFamily="34" charset="0"/>
              <a:cs typeface="Arial" panose="020B0604020202020204" pitchFamily="34" charset="0"/>
            </a:rPr>
            <a:t>: 	Eintragen von Abwesenheiten (bspw. aufgrund Urlaub oder Krankheit)</a:t>
          </a:r>
        </a:p>
        <a:p>
          <a:r>
            <a:rPr lang="de-DE" sz="1100" baseline="0">
              <a:solidFill>
                <a:sysClr val="windowText" lastClr="000000"/>
              </a:solidFill>
              <a:latin typeface="Arial" panose="020B0604020202020204" pitchFamily="34" charset="0"/>
              <a:cs typeface="Arial" panose="020B0604020202020204" pitchFamily="34" charset="0"/>
            </a:rPr>
            <a:t>		Hinweis: Abwesende Tage werden nicht in die Überstundenberechnung miteinbezogen.</a:t>
          </a:r>
        </a:p>
        <a:p>
          <a:r>
            <a:rPr lang="de-DE" sz="1100">
              <a:solidFill>
                <a:sysClr val="windowText" lastClr="000000"/>
              </a:solidFill>
              <a:latin typeface="Arial" panose="020B0604020202020204" pitchFamily="34" charset="0"/>
              <a:cs typeface="Arial" panose="020B0604020202020204" pitchFamily="34" charset="0"/>
            </a:rPr>
            <a:t>* </a:t>
          </a:r>
          <a:r>
            <a:rPr lang="de-DE" sz="1100" b="1">
              <a:solidFill>
                <a:sysClr val="windowText" lastClr="000000"/>
              </a:solidFill>
              <a:latin typeface="Arial" panose="020B0604020202020204" pitchFamily="34" charset="0"/>
              <a:cs typeface="Arial" panose="020B0604020202020204" pitchFamily="34" charset="0"/>
            </a:rPr>
            <a:t>R Stundenkonto</a:t>
          </a:r>
          <a:r>
            <a:rPr lang="de-DE" sz="1100">
              <a:solidFill>
                <a:sysClr val="windowText" lastClr="000000"/>
              </a:solidFill>
              <a:latin typeface="Arial" panose="020B0604020202020204" pitchFamily="34" charset="0"/>
              <a:cs typeface="Arial" panose="020B0604020202020204" pitchFamily="34" charset="0"/>
            </a:rPr>
            <a:t>: 	Report über Arbeitsstunden</a:t>
          </a:r>
          <a:r>
            <a:rPr lang="de-DE" sz="1100" baseline="0">
              <a:solidFill>
                <a:sysClr val="windowText" lastClr="000000"/>
              </a:solidFill>
              <a:latin typeface="Arial" panose="020B0604020202020204" pitchFamily="34" charset="0"/>
              <a:cs typeface="Arial" panose="020B0604020202020204" pitchFamily="34" charset="0"/>
            </a:rPr>
            <a:t> und Abwesenheitstage pro Monat mit </a:t>
          </a:r>
        </a:p>
        <a:p>
          <a:r>
            <a:rPr lang="de-DE" sz="1100" baseline="0">
              <a:solidFill>
                <a:sysClr val="windowText" lastClr="000000"/>
              </a:solidFill>
              <a:latin typeface="Arial" panose="020B0604020202020204" pitchFamily="34" charset="0"/>
              <a:cs typeface="Arial" panose="020B0604020202020204" pitchFamily="34" charset="0"/>
            </a:rPr>
            <a:t>		Auswertung Überstunden und Urlaubskonto</a:t>
          </a:r>
        </a:p>
        <a:p>
          <a:r>
            <a:rPr lang="de-DE" sz="1100" baseline="0">
              <a:solidFill>
                <a:sysClr val="windowText" lastClr="000000"/>
              </a:solidFill>
              <a:latin typeface="Arial" panose="020B0604020202020204" pitchFamily="34" charset="0"/>
              <a:cs typeface="Arial" panose="020B0604020202020204" pitchFamily="34" charset="0"/>
            </a:rPr>
            <a:t>* </a:t>
          </a:r>
          <a:r>
            <a:rPr lang="de-DE" sz="1100" b="1" baseline="0">
              <a:solidFill>
                <a:sysClr val="windowText" lastClr="000000"/>
              </a:solidFill>
              <a:latin typeface="Arial" panose="020B0604020202020204" pitchFamily="34" charset="0"/>
              <a:cs typeface="Arial" panose="020B0604020202020204" pitchFamily="34" charset="0"/>
            </a:rPr>
            <a:t>R Std.Monat</a:t>
          </a:r>
          <a:r>
            <a:rPr lang="de-DE" sz="1100" baseline="0">
              <a:solidFill>
                <a:sysClr val="windowText" lastClr="000000"/>
              </a:solidFill>
              <a:latin typeface="Arial" panose="020B0604020202020204" pitchFamily="34" charset="0"/>
              <a:cs typeface="Arial" panose="020B0604020202020204" pitchFamily="34" charset="0"/>
            </a:rPr>
            <a:t>: 	Report über geleistete Stunden pro Monat</a:t>
          </a:r>
        </a:p>
        <a:p>
          <a:r>
            <a:rPr lang="de-DE" sz="1100" baseline="0">
              <a:solidFill>
                <a:sysClr val="windowText" lastClr="000000"/>
              </a:solidFill>
              <a:latin typeface="Arial" panose="020B0604020202020204" pitchFamily="34" charset="0"/>
              <a:cs typeface="Arial" panose="020B0604020202020204" pitchFamily="34" charset="0"/>
            </a:rPr>
            <a:t>* </a:t>
          </a:r>
          <a:r>
            <a:rPr lang="de-DE" sz="1100" b="1" baseline="0">
              <a:solidFill>
                <a:sysClr val="windowText" lastClr="000000"/>
              </a:solidFill>
              <a:latin typeface="Arial" panose="020B0604020202020204" pitchFamily="34" charset="0"/>
              <a:cs typeface="Arial" panose="020B0604020202020204" pitchFamily="34" charset="0"/>
            </a:rPr>
            <a:t>R EUR.Monat</a:t>
          </a:r>
          <a:r>
            <a:rPr lang="de-DE" sz="1100" baseline="0">
              <a:solidFill>
                <a:sysClr val="windowText" lastClr="000000"/>
              </a:solidFill>
              <a:latin typeface="Arial" panose="020B0604020202020204" pitchFamily="34" charset="0"/>
              <a:cs typeface="Arial" panose="020B0604020202020204" pitchFamily="34" charset="0"/>
            </a:rPr>
            <a:t>: 	Report über abrechenbare Stunden pro Monat</a:t>
          </a:r>
        </a:p>
        <a:p>
          <a:r>
            <a:rPr lang="de-DE" sz="1100" baseline="0">
              <a:solidFill>
                <a:sysClr val="windowText" lastClr="000000"/>
              </a:solidFill>
              <a:latin typeface="Arial" panose="020B0604020202020204" pitchFamily="34" charset="0"/>
              <a:cs typeface="Arial" panose="020B0604020202020204" pitchFamily="34" charset="0"/>
            </a:rPr>
            <a:t>* </a:t>
          </a:r>
          <a:r>
            <a:rPr lang="de-DE" sz="1100" b="1" baseline="0">
              <a:solidFill>
                <a:sysClr val="windowText" lastClr="000000"/>
              </a:solidFill>
              <a:latin typeface="Arial" panose="020B0604020202020204" pitchFamily="34" charset="0"/>
              <a:cs typeface="Arial" panose="020B0604020202020204" pitchFamily="34" charset="0"/>
            </a:rPr>
            <a:t>R Std.Tagessicht</a:t>
          </a:r>
          <a:r>
            <a:rPr lang="de-DE" sz="1100" baseline="0">
              <a:solidFill>
                <a:sysClr val="windowText" lastClr="000000"/>
              </a:solidFill>
              <a:latin typeface="Arial" panose="020B0604020202020204" pitchFamily="34" charset="0"/>
              <a:cs typeface="Arial" panose="020B0604020202020204" pitchFamily="34" charset="0"/>
            </a:rPr>
            <a:t>: 	Report über geleistete Stunden pro Tag</a:t>
          </a:r>
        </a:p>
        <a:p>
          <a:r>
            <a:rPr lang="de-DE" sz="1100" baseline="0">
              <a:solidFill>
                <a:sysClr val="windowText" lastClr="000000"/>
              </a:solidFill>
              <a:latin typeface="Arial" panose="020B0604020202020204" pitchFamily="34" charset="0"/>
              <a:cs typeface="Arial" panose="020B0604020202020204" pitchFamily="34" charset="0"/>
            </a:rPr>
            <a:t>* </a:t>
          </a:r>
          <a:r>
            <a:rPr lang="de-DE" sz="1100" b="1" baseline="0">
              <a:solidFill>
                <a:sysClr val="windowText" lastClr="000000"/>
              </a:solidFill>
              <a:latin typeface="Arial" panose="020B0604020202020204" pitchFamily="34" charset="0"/>
              <a:cs typeface="Arial" panose="020B0604020202020204" pitchFamily="34" charset="0"/>
            </a:rPr>
            <a:t>Feiertage	</a:t>
          </a:r>
          <a:r>
            <a:rPr lang="de-DE" sz="1100" b="0" baseline="0">
              <a:solidFill>
                <a:sysClr val="windowText" lastClr="000000"/>
              </a:solidFill>
              <a:latin typeface="Arial" panose="020B0604020202020204" pitchFamily="34" charset="0"/>
              <a:cs typeface="Arial" panose="020B0604020202020204" pitchFamily="34" charset="0"/>
            </a:rPr>
            <a:t>	Liste aller Feiertage (gesetzliche und betriebliche) zur Berechnung des Stundenkontos</a:t>
          </a:r>
        </a:p>
        <a:p>
          <a:r>
            <a:rPr lang="de-DE" sz="1100" b="0" baseline="0">
              <a:solidFill>
                <a:sysClr val="windowText" lastClr="000000"/>
              </a:solidFill>
              <a:latin typeface="Arial" panose="020B0604020202020204" pitchFamily="34" charset="0"/>
              <a:cs typeface="Arial" panose="020B0604020202020204" pitchFamily="34" charset="0"/>
            </a:rPr>
            <a:t>		Hinweis: Feiertage werden nicht als Arbeitstage gerechnet (keine Soll-Stunden an diesem Tag)</a:t>
          </a:r>
          <a:endParaRPr lang="de-DE"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4</xdr:col>
      <xdr:colOff>868680</xdr:colOff>
      <xdr:row>8</xdr:row>
      <xdr:rowOff>175260</xdr:rowOff>
    </xdr:from>
    <xdr:to>
      <xdr:col>10</xdr:col>
      <xdr:colOff>160020</xdr:colOff>
      <xdr:row>10</xdr:row>
      <xdr:rowOff>45420</xdr:rowOff>
    </xdr:to>
    <xdr:sp macro="" textlink="">
      <xdr:nvSpPr>
        <xdr:cNvPr id="10" name="Textfeld 9">
          <a:extLst>
            <a:ext uri="{FF2B5EF4-FFF2-40B4-BE49-F238E27FC236}">
              <a16:creationId xmlns:a16="http://schemas.microsoft.com/office/drawing/2014/main" id="{2B14977A-80B3-4C80-A0B3-44D02B63D4CA}"/>
            </a:ext>
          </a:extLst>
        </xdr:cNvPr>
        <xdr:cNvSpPr txBox="1"/>
      </xdr:nvSpPr>
      <xdr:spPr>
        <a:xfrm>
          <a:off x="4671060" y="1623060"/>
          <a:ext cx="4305300" cy="26640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aseline="0">
              <a:latin typeface="Arial" panose="020B0604020202020204" pitchFamily="34" charset="0"/>
              <a:cs typeface="Arial" panose="020B0604020202020204" pitchFamily="34" charset="0"/>
            </a:rPr>
            <a:t>vereinbarte Normal-Arbeitsstunden pro Tag</a:t>
          </a:r>
        </a:p>
        <a:p>
          <a:endParaRPr lang="de-DE" sz="1100">
            <a:latin typeface="Arial" panose="020B0604020202020204" pitchFamily="34" charset="0"/>
            <a:cs typeface="Arial" panose="020B0604020202020204" pitchFamily="34" charset="0"/>
          </a:endParaRPr>
        </a:p>
      </xdr:txBody>
    </xdr:sp>
    <xdr:clientData/>
  </xdr:twoCellAnchor>
  <xdr:twoCellAnchor>
    <xdr:from>
      <xdr:col>4</xdr:col>
      <xdr:colOff>144780</xdr:colOff>
      <xdr:row>9</xdr:row>
      <xdr:rowOff>99060</xdr:rowOff>
    </xdr:from>
    <xdr:to>
      <xdr:col>4</xdr:col>
      <xdr:colOff>800100</xdr:colOff>
      <xdr:row>9</xdr:row>
      <xdr:rowOff>99060</xdr:rowOff>
    </xdr:to>
    <xdr:cxnSp macro="">
      <xdr:nvCxnSpPr>
        <xdr:cNvPr id="11" name="Gerade Verbindung mit Pfeil 10">
          <a:extLst>
            <a:ext uri="{FF2B5EF4-FFF2-40B4-BE49-F238E27FC236}">
              <a16:creationId xmlns:a16="http://schemas.microsoft.com/office/drawing/2014/main" id="{BE0F5044-5023-445D-833E-37A94068F745}"/>
            </a:ext>
          </a:extLst>
        </xdr:cNvPr>
        <xdr:cNvCxnSpPr/>
      </xdr:nvCxnSpPr>
      <xdr:spPr>
        <a:xfrm flipH="1">
          <a:off x="3947160" y="1744980"/>
          <a:ext cx="655320" cy="0"/>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144780</xdr:colOff>
      <xdr:row>11</xdr:row>
      <xdr:rowOff>121920</xdr:rowOff>
    </xdr:from>
    <xdr:to>
      <xdr:col>4</xdr:col>
      <xdr:colOff>800100</xdr:colOff>
      <xdr:row>11</xdr:row>
      <xdr:rowOff>121920</xdr:rowOff>
    </xdr:to>
    <xdr:cxnSp macro="">
      <xdr:nvCxnSpPr>
        <xdr:cNvPr id="12" name="Gerade Verbindung mit Pfeil 11">
          <a:extLst>
            <a:ext uri="{FF2B5EF4-FFF2-40B4-BE49-F238E27FC236}">
              <a16:creationId xmlns:a16="http://schemas.microsoft.com/office/drawing/2014/main" id="{646A88BC-0FEC-4479-A8FA-8BEFF79944FB}"/>
            </a:ext>
          </a:extLst>
        </xdr:cNvPr>
        <xdr:cNvCxnSpPr/>
      </xdr:nvCxnSpPr>
      <xdr:spPr>
        <a:xfrm flipH="1">
          <a:off x="3947160" y="2019300"/>
          <a:ext cx="655320" cy="0"/>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868680</xdr:colOff>
      <xdr:row>11</xdr:row>
      <xdr:rowOff>45720</xdr:rowOff>
    </xdr:from>
    <xdr:to>
      <xdr:col>10</xdr:col>
      <xdr:colOff>160020</xdr:colOff>
      <xdr:row>12</xdr:row>
      <xdr:rowOff>114000</xdr:rowOff>
    </xdr:to>
    <xdr:sp macro="" textlink="">
      <xdr:nvSpPr>
        <xdr:cNvPr id="13" name="Textfeld 12">
          <a:extLst>
            <a:ext uri="{FF2B5EF4-FFF2-40B4-BE49-F238E27FC236}">
              <a16:creationId xmlns:a16="http://schemas.microsoft.com/office/drawing/2014/main" id="{4596494D-9F85-416E-BA11-DF1AA6592819}"/>
            </a:ext>
          </a:extLst>
        </xdr:cNvPr>
        <xdr:cNvSpPr txBox="1"/>
      </xdr:nvSpPr>
      <xdr:spPr>
        <a:xfrm>
          <a:off x="4671060" y="1943100"/>
          <a:ext cx="4305300" cy="26640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aseline="0">
              <a:latin typeface="Arial" panose="020B0604020202020204" pitchFamily="34" charset="0"/>
              <a:cs typeface="Arial" panose="020B0604020202020204" pitchFamily="34" charset="0"/>
            </a:rPr>
            <a:t>Einhaltung der gesetzlichen Maximalarbeitszeit</a:t>
          </a:r>
        </a:p>
      </xdr:txBody>
    </xdr:sp>
    <xdr:clientData/>
  </xdr:twoCellAnchor>
  <xdr:twoCellAnchor>
    <xdr:from>
      <xdr:col>4</xdr:col>
      <xdr:colOff>868680</xdr:colOff>
      <xdr:row>12</xdr:row>
      <xdr:rowOff>167640</xdr:rowOff>
    </xdr:from>
    <xdr:to>
      <xdr:col>10</xdr:col>
      <xdr:colOff>160020</xdr:colOff>
      <xdr:row>16</xdr:row>
      <xdr:rowOff>30480</xdr:rowOff>
    </xdr:to>
    <xdr:sp macro="" textlink="">
      <xdr:nvSpPr>
        <xdr:cNvPr id="14" name="Textfeld 13">
          <a:extLst>
            <a:ext uri="{FF2B5EF4-FFF2-40B4-BE49-F238E27FC236}">
              <a16:creationId xmlns:a16="http://schemas.microsoft.com/office/drawing/2014/main" id="{B373D3B8-323F-4509-8EB3-6EC6449CDEFE}"/>
            </a:ext>
          </a:extLst>
        </xdr:cNvPr>
        <xdr:cNvSpPr txBox="1"/>
      </xdr:nvSpPr>
      <xdr:spPr>
        <a:xfrm>
          <a:off x="4671060" y="2263140"/>
          <a:ext cx="4305300" cy="60960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aseline="0">
              <a:latin typeface="Arial" panose="020B0604020202020204" pitchFamily="34" charset="0"/>
              <a:cs typeface="Arial" panose="020B0604020202020204" pitchFamily="34" charset="0"/>
            </a:rPr>
            <a:t>Einhaltung der gesetzlichen Pausenzeiten:</a:t>
          </a:r>
        </a:p>
        <a:p>
          <a:r>
            <a:rPr lang="de-DE" sz="1100" baseline="0">
              <a:latin typeface="Arial" panose="020B0604020202020204" pitchFamily="34" charset="0"/>
              <a:cs typeface="Arial" panose="020B0604020202020204" pitchFamily="34" charset="0"/>
            </a:rPr>
            <a:t>ab 6 Stunden Arbeitszeit sollten 0,5 h Pause gemacht werden</a:t>
          </a:r>
        </a:p>
        <a:p>
          <a:r>
            <a:rPr lang="de-DE" sz="1100" baseline="0">
              <a:latin typeface="Arial" panose="020B0604020202020204" pitchFamily="34" charset="0"/>
              <a:cs typeface="Arial" panose="020B0604020202020204" pitchFamily="34" charset="0"/>
            </a:rPr>
            <a:t>ab 9 Stunden Arbeitszeit sollten 0,75 h Pause gemacht werden</a:t>
          </a:r>
        </a:p>
      </xdr:txBody>
    </xdr:sp>
    <xdr:clientData/>
  </xdr:twoCellAnchor>
  <xdr:twoCellAnchor>
    <xdr:from>
      <xdr:col>4</xdr:col>
      <xdr:colOff>160020</xdr:colOff>
      <xdr:row>12</xdr:row>
      <xdr:rowOff>160020</xdr:rowOff>
    </xdr:from>
    <xdr:to>
      <xdr:col>4</xdr:col>
      <xdr:colOff>800100</xdr:colOff>
      <xdr:row>13</xdr:row>
      <xdr:rowOff>22860</xdr:rowOff>
    </xdr:to>
    <xdr:cxnSp macro="">
      <xdr:nvCxnSpPr>
        <xdr:cNvPr id="15" name="Gerade Verbindung mit Pfeil 14">
          <a:extLst>
            <a:ext uri="{FF2B5EF4-FFF2-40B4-BE49-F238E27FC236}">
              <a16:creationId xmlns:a16="http://schemas.microsoft.com/office/drawing/2014/main" id="{A250DE21-5144-4C58-939B-BF4F6402D082}"/>
            </a:ext>
          </a:extLst>
        </xdr:cNvPr>
        <xdr:cNvCxnSpPr/>
      </xdr:nvCxnSpPr>
      <xdr:spPr>
        <a:xfrm flipH="1" flipV="1">
          <a:off x="3962400" y="2255520"/>
          <a:ext cx="640080" cy="60960"/>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167640</xdr:colOff>
      <xdr:row>13</xdr:row>
      <xdr:rowOff>68580</xdr:rowOff>
    </xdr:from>
    <xdr:to>
      <xdr:col>4</xdr:col>
      <xdr:colOff>800100</xdr:colOff>
      <xdr:row>13</xdr:row>
      <xdr:rowOff>121920</xdr:rowOff>
    </xdr:to>
    <xdr:cxnSp macro="">
      <xdr:nvCxnSpPr>
        <xdr:cNvPr id="16" name="Gerade Verbindung mit Pfeil 15">
          <a:extLst>
            <a:ext uri="{FF2B5EF4-FFF2-40B4-BE49-F238E27FC236}">
              <a16:creationId xmlns:a16="http://schemas.microsoft.com/office/drawing/2014/main" id="{D4EE7F2E-0669-4EE8-A312-06C7121E4280}"/>
            </a:ext>
          </a:extLst>
        </xdr:cNvPr>
        <xdr:cNvCxnSpPr/>
      </xdr:nvCxnSpPr>
      <xdr:spPr>
        <a:xfrm flipH="1">
          <a:off x="3970020" y="2362200"/>
          <a:ext cx="632460" cy="53340"/>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144780</xdr:colOff>
      <xdr:row>0</xdr:row>
      <xdr:rowOff>121920</xdr:rowOff>
    </xdr:from>
    <xdr:to>
      <xdr:col>7</xdr:col>
      <xdr:colOff>167419</xdr:colOff>
      <xdr:row>4</xdr:row>
      <xdr:rowOff>40149</xdr:rowOff>
    </xdr:to>
    <xdr:pic>
      <xdr:nvPicPr>
        <xdr:cNvPr id="2" name="Grafik 1">
          <a:extLst>
            <a:ext uri="{FF2B5EF4-FFF2-40B4-BE49-F238E27FC236}">
              <a16:creationId xmlns:a16="http://schemas.microsoft.com/office/drawing/2014/main" id="{427A67A4-2EBF-4D07-8125-D1CAF2468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121920"/>
          <a:ext cx="2885440" cy="664989"/>
        </a:xfrm>
        <a:prstGeom prst="rect">
          <a:avLst/>
        </a:prstGeom>
      </xdr:spPr>
    </xdr:pic>
    <xdr:clientData/>
  </xdr:twoCellAnchor>
  <xdr:twoCellAnchor>
    <xdr:from>
      <xdr:col>11</xdr:col>
      <xdr:colOff>708660</xdr:colOff>
      <xdr:row>0</xdr:row>
      <xdr:rowOff>112608</xdr:rowOff>
    </xdr:from>
    <xdr:to>
      <xdr:col>11</xdr:col>
      <xdr:colOff>2980267</xdr:colOff>
      <xdr:row>4</xdr:row>
      <xdr:rowOff>33058</xdr:rowOff>
    </xdr:to>
    <xdr:sp macro="" textlink="">
      <xdr:nvSpPr>
        <xdr:cNvPr id="3" name="Textfeld 2">
          <a:extLst>
            <a:ext uri="{FF2B5EF4-FFF2-40B4-BE49-F238E27FC236}">
              <a16:creationId xmlns:a16="http://schemas.microsoft.com/office/drawing/2014/main" id="{AC10A677-F19D-417D-AE6A-7CF31890A3C3}"/>
            </a:ext>
          </a:extLst>
        </xdr:cNvPr>
        <xdr:cNvSpPr txBox="1"/>
      </xdr:nvSpPr>
      <xdr:spPr>
        <a:xfrm>
          <a:off x="5754793" y="112608"/>
          <a:ext cx="2271607" cy="665517"/>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Platz</a:t>
          </a:r>
          <a:r>
            <a:rPr lang="de-DE" sz="1200" baseline="0">
              <a:latin typeface="Arial" panose="020B0604020202020204" pitchFamily="34" charset="0"/>
              <a:cs typeface="Arial" panose="020B0604020202020204" pitchFamily="34" charset="0"/>
            </a:rPr>
            <a:t> für individuelle Beschreibung der Tätigkeit</a:t>
          </a:r>
          <a:endParaRPr lang="de-DE" sz="1200">
            <a:latin typeface="Arial" panose="020B0604020202020204" pitchFamily="34" charset="0"/>
            <a:cs typeface="Arial" panose="020B0604020202020204" pitchFamily="34" charset="0"/>
          </a:endParaRPr>
        </a:p>
      </xdr:txBody>
    </xdr:sp>
    <xdr:clientData/>
  </xdr:twoCellAnchor>
  <xdr:twoCellAnchor>
    <xdr:from>
      <xdr:col>12</xdr:col>
      <xdr:colOff>753036</xdr:colOff>
      <xdr:row>9</xdr:row>
      <xdr:rowOff>23309</xdr:rowOff>
    </xdr:from>
    <xdr:to>
      <xdr:col>15</xdr:col>
      <xdr:colOff>251012</xdr:colOff>
      <xdr:row>11</xdr:row>
      <xdr:rowOff>152400</xdr:rowOff>
    </xdr:to>
    <xdr:sp macro="" textlink="">
      <xdr:nvSpPr>
        <xdr:cNvPr id="7" name="Textfeld 6">
          <a:extLst>
            <a:ext uri="{FF2B5EF4-FFF2-40B4-BE49-F238E27FC236}">
              <a16:creationId xmlns:a16="http://schemas.microsoft.com/office/drawing/2014/main" id="{64A778EB-415A-4DE7-8DF1-6688AAD4A3B7}"/>
            </a:ext>
          </a:extLst>
        </xdr:cNvPr>
        <xdr:cNvSpPr txBox="1"/>
      </xdr:nvSpPr>
      <xdr:spPr>
        <a:xfrm>
          <a:off x="9699812" y="1834180"/>
          <a:ext cx="2590800" cy="487679"/>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Alle grau hinterlegten Felder</a:t>
          </a:r>
          <a:r>
            <a:rPr lang="de-DE" sz="1200" baseline="0">
              <a:latin typeface="Arial" panose="020B0604020202020204" pitchFamily="34" charset="0"/>
              <a:cs typeface="Arial" panose="020B0604020202020204" pitchFamily="34" charset="0"/>
            </a:rPr>
            <a:t> werden automatisch berechnet.</a:t>
          </a:r>
        </a:p>
      </xdr:txBody>
    </xdr:sp>
    <xdr:clientData/>
  </xdr:twoCellAnchor>
  <xdr:twoCellAnchor>
    <xdr:from>
      <xdr:col>8</xdr:col>
      <xdr:colOff>140547</xdr:colOff>
      <xdr:row>0</xdr:row>
      <xdr:rowOff>114301</xdr:rowOff>
    </xdr:from>
    <xdr:to>
      <xdr:col>10</xdr:col>
      <xdr:colOff>567267</xdr:colOff>
      <xdr:row>4</xdr:row>
      <xdr:rowOff>169333</xdr:rowOff>
    </xdr:to>
    <xdr:sp macro="" textlink="">
      <xdr:nvSpPr>
        <xdr:cNvPr id="14" name="Textfeld 13">
          <a:extLst>
            <a:ext uri="{FF2B5EF4-FFF2-40B4-BE49-F238E27FC236}">
              <a16:creationId xmlns:a16="http://schemas.microsoft.com/office/drawing/2014/main" id="{7E375D4B-D0AC-41B3-990B-3E4174C4DDE6}"/>
            </a:ext>
          </a:extLst>
        </xdr:cNvPr>
        <xdr:cNvSpPr txBox="1"/>
      </xdr:nvSpPr>
      <xdr:spPr>
        <a:xfrm>
          <a:off x="3434080" y="114301"/>
          <a:ext cx="1806787" cy="800099"/>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Zellen</a:t>
          </a:r>
          <a:r>
            <a:rPr lang="de-DE" sz="1200" baseline="0">
              <a:latin typeface="Arial" panose="020B0604020202020204" pitchFamily="34" charset="0"/>
              <a:cs typeface="Arial" panose="020B0604020202020204" pitchFamily="34" charset="0"/>
            </a:rPr>
            <a:t> mit negativer Dauer werden </a:t>
          </a:r>
          <a:r>
            <a:rPr lang="de-DE" sz="1200" b="1" baseline="0">
              <a:solidFill>
                <a:srgbClr val="FF0000"/>
              </a:solidFill>
              <a:latin typeface="Arial" panose="020B0604020202020204" pitchFamily="34" charset="0"/>
              <a:cs typeface="Arial" panose="020B0604020202020204" pitchFamily="34" charset="0"/>
            </a:rPr>
            <a:t>rot</a:t>
          </a:r>
          <a:r>
            <a:rPr lang="de-DE" sz="1200" baseline="0">
              <a:latin typeface="Arial" panose="020B0604020202020204" pitchFamily="34" charset="0"/>
              <a:cs typeface="Arial" panose="020B0604020202020204" pitchFamily="34" charset="0"/>
            </a:rPr>
            <a:t> markiert (Eingabefehler ist zu korrigieren)</a:t>
          </a:r>
          <a:endParaRPr lang="de-DE" sz="1200">
            <a:latin typeface="Arial" panose="020B0604020202020204" pitchFamily="34" charset="0"/>
            <a:cs typeface="Arial" panose="020B0604020202020204" pitchFamily="34" charset="0"/>
          </a:endParaRPr>
        </a:p>
      </xdr:txBody>
    </xdr:sp>
    <xdr:clientData/>
  </xdr:twoCellAnchor>
  <xdr:twoCellAnchor>
    <xdr:from>
      <xdr:col>6</xdr:col>
      <xdr:colOff>463826</xdr:colOff>
      <xdr:row>3</xdr:row>
      <xdr:rowOff>50800</xdr:rowOff>
    </xdr:from>
    <xdr:to>
      <xdr:col>8</xdr:col>
      <xdr:colOff>59267</xdr:colOff>
      <xdr:row>5</xdr:row>
      <xdr:rowOff>145774</xdr:rowOff>
    </xdr:to>
    <xdr:cxnSp macro="">
      <xdr:nvCxnSpPr>
        <xdr:cNvPr id="15" name="Gerade Verbindung mit Pfeil 14">
          <a:extLst>
            <a:ext uri="{FF2B5EF4-FFF2-40B4-BE49-F238E27FC236}">
              <a16:creationId xmlns:a16="http://schemas.microsoft.com/office/drawing/2014/main" id="{A707B2DE-6D1A-410C-A4A7-EA9FCA1D19DD}"/>
            </a:ext>
          </a:extLst>
        </xdr:cNvPr>
        <xdr:cNvCxnSpPr/>
      </xdr:nvCxnSpPr>
      <xdr:spPr>
        <a:xfrm flipH="1">
          <a:off x="2631293" y="618067"/>
          <a:ext cx="721507" cy="459040"/>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134146</xdr:colOff>
      <xdr:row>14</xdr:row>
      <xdr:rowOff>114300</xdr:rowOff>
    </xdr:from>
    <xdr:to>
      <xdr:col>11</xdr:col>
      <xdr:colOff>2903888</xdr:colOff>
      <xdr:row>18</xdr:row>
      <xdr:rowOff>137160</xdr:rowOff>
    </xdr:to>
    <xdr:sp macro="" textlink="">
      <xdr:nvSpPr>
        <xdr:cNvPr id="17" name="Textfeld 16">
          <a:extLst>
            <a:ext uri="{FF2B5EF4-FFF2-40B4-BE49-F238E27FC236}">
              <a16:creationId xmlns:a16="http://schemas.microsoft.com/office/drawing/2014/main" id="{A4AB8158-E3B3-49B6-9463-0DEF5D6CEE4F}"/>
            </a:ext>
          </a:extLst>
        </xdr:cNvPr>
        <xdr:cNvSpPr txBox="1"/>
      </xdr:nvSpPr>
      <xdr:spPr>
        <a:xfrm>
          <a:off x="3863464" y="2821641"/>
          <a:ext cx="4939200" cy="740037"/>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aseline="0">
              <a:latin typeface="Arial" panose="020B0604020202020204" pitchFamily="34" charset="0"/>
              <a:cs typeface="Arial" panose="020B0604020202020204" pitchFamily="34" charset="0"/>
            </a:rPr>
            <a:t>Befüllen Sie die Tabelle mit Ihren Arbeitszeiten.</a:t>
          </a:r>
        </a:p>
        <a:p>
          <a:endParaRPr lang="de-DE" sz="1100" baseline="0">
            <a:latin typeface="Arial" panose="020B0604020202020204" pitchFamily="34" charset="0"/>
            <a:cs typeface="Arial" panose="020B0604020202020204" pitchFamily="34" charset="0"/>
          </a:endParaRPr>
        </a:p>
        <a:p>
          <a:r>
            <a:rPr lang="de-DE" sz="1100" baseline="0">
              <a:latin typeface="Arial" panose="020B0604020202020204" pitchFamily="34" charset="0"/>
              <a:cs typeface="Arial" panose="020B0604020202020204" pitchFamily="34" charset="0"/>
            </a:rPr>
            <a:t>Die Liste kann beliebig nach unten erweitert werden.</a:t>
          </a:r>
        </a:p>
        <a:p>
          <a:r>
            <a:rPr lang="de-DE" sz="1100" baseline="0">
              <a:latin typeface="Arial" panose="020B0604020202020204" pitchFamily="34" charset="0"/>
              <a:cs typeface="Arial" panose="020B0604020202020204" pitchFamily="34" charset="0"/>
            </a:rPr>
            <a:t>Fügen Sie am Ende der Liste, jedenfalls noch vor der Summenzeile, eine neue Zeile ein.</a:t>
          </a:r>
          <a:endParaRPr lang="de-DE" sz="1100">
            <a:latin typeface="Arial" panose="020B0604020202020204" pitchFamily="34" charset="0"/>
            <a:cs typeface="Arial" panose="020B0604020202020204" pitchFamily="34" charset="0"/>
          </a:endParaRPr>
        </a:p>
      </xdr:txBody>
    </xdr:sp>
    <xdr:clientData/>
  </xdr:twoCellAnchor>
  <xdr:twoCellAnchor>
    <xdr:from>
      <xdr:col>10</xdr:col>
      <xdr:colOff>998220</xdr:colOff>
      <xdr:row>105</xdr:row>
      <xdr:rowOff>144780</xdr:rowOff>
    </xdr:from>
    <xdr:to>
      <xdr:col>12</xdr:col>
      <xdr:colOff>412473</xdr:colOff>
      <xdr:row>109</xdr:row>
      <xdr:rowOff>99097</xdr:rowOff>
    </xdr:to>
    <xdr:sp macro="" textlink="">
      <xdr:nvSpPr>
        <xdr:cNvPr id="18" name="Textfeld 17">
          <a:extLst>
            <a:ext uri="{FF2B5EF4-FFF2-40B4-BE49-F238E27FC236}">
              <a16:creationId xmlns:a16="http://schemas.microsoft.com/office/drawing/2014/main" id="{2E7D3FE8-42F4-430D-BE9B-C16F783F1A4E}"/>
            </a:ext>
          </a:extLst>
        </xdr:cNvPr>
        <xdr:cNvSpPr txBox="1"/>
      </xdr:nvSpPr>
      <xdr:spPr>
        <a:xfrm>
          <a:off x="4602480" y="2773680"/>
          <a:ext cx="2805153" cy="655357"/>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Teilsumme zeigt die Summe der gefilterten</a:t>
          </a:r>
          <a:r>
            <a:rPr lang="de-DE" sz="1200" baseline="0">
              <a:latin typeface="Arial" panose="020B0604020202020204" pitchFamily="34" charset="0"/>
              <a:cs typeface="Arial" panose="020B0604020202020204" pitchFamily="34" charset="0"/>
            </a:rPr>
            <a:t> Tabelle</a:t>
          </a:r>
        </a:p>
      </xdr:txBody>
    </xdr:sp>
    <xdr:clientData/>
  </xdr:twoCellAnchor>
  <xdr:twoCellAnchor>
    <xdr:from>
      <xdr:col>6</xdr:col>
      <xdr:colOff>175260</xdr:colOff>
      <xdr:row>105</xdr:row>
      <xdr:rowOff>99060</xdr:rowOff>
    </xdr:from>
    <xdr:to>
      <xdr:col>10</xdr:col>
      <xdr:colOff>883920</xdr:colOff>
      <xdr:row>108</xdr:row>
      <xdr:rowOff>121920</xdr:rowOff>
    </xdr:to>
    <xdr:cxnSp macro="">
      <xdr:nvCxnSpPr>
        <xdr:cNvPr id="19" name="Gerade Verbindung mit Pfeil 18">
          <a:extLst>
            <a:ext uri="{FF2B5EF4-FFF2-40B4-BE49-F238E27FC236}">
              <a16:creationId xmlns:a16="http://schemas.microsoft.com/office/drawing/2014/main" id="{0CA7BAB1-5BC1-460A-9855-1E351A74B74E}"/>
            </a:ext>
          </a:extLst>
        </xdr:cNvPr>
        <xdr:cNvCxnSpPr/>
      </xdr:nvCxnSpPr>
      <xdr:spPr>
        <a:xfrm flipH="1" flipV="1">
          <a:off x="2339340" y="6766560"/>
          <a:ext cx="2148840" cy="548640"/>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105</xdr:row>
      <xdr:rowOff>15240</xdr:rowOff>
    </xdr:from>
    <xdr:to>
      <xdr:col>13</xdr:col>
      <xdr:colOff>632460</xdr:colOff>
      <xdr:row>108</xdr:row>
      <xdr:rowOff>152400</xdr:rowOff>
    </xdr:to>
    <xdr:cxnSp macro="">
      <xdr:nvCxnSpPr>
        <xdr:cNvPr id="22" name="Gerade Verbindung mit Pfeil 21">
          <a:extLst>
            <a:ext uri="{FF2B5EF4-FFF2-40B4-BE49-F238E27FC236}">
              <a16:creationId xmlns:a16="http://schemas.microsoft.com/office/drawing/2014/main" id="{17EC71EF-DCD1-492C-B8FE-E2975F6C70F2}"/>
            </a:ext>
          </a:extLst>
        </xdr:cNvPr>
        <xdr:cNvCxnSpPr/>
      </xdr:nvCxnSpPr>
      <xdr:spPr>
        <a:xfrm flipV="1">
          <a:off x="7490460" y="2644140"/>
          <a:ext cx="1272540" cy="662940"/>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551180</xdr:colOff>
      <xdr:row>0</xdr:row>
      <xdr:rowOff>91441</xdr:rowOff>
    </xdr:from>
    <xdr:to>
      <xdr:col>24</xdr:col>
      <xdr:colOff>6127</xdr:colOff>
      <xdr:row>6</xdr:row>
      <xdr:rowOff>137161</xdr:rowOff>
    </xdr:to>
    <mc:AlternateContent xmlns:mc="http://schemas.openxmlformats.org/markup-compatibility/2006" xmlns:sle15="http://schemas.microsoft.com/office/drawing/2012/slicer">
      <mc:Choice Requires="sle15">
        <xdr:graphicFrame macro="">
          <xdr:nvGraphicFramePr>
            <xdr:cNvPr id="6" name="Projekt 1">
              <a:extLst>
                <a:ext uri="{FF2B5EF4-FFF2-40B4-BE49-F238E27FC236}">
                  <a16:creationId xmlns:a16="http://schemas.microsoft.com/office/drawing/2014/main" id="{A9D442A8-ADBB-45CA-9CCE-191B516D7BB8}"/>
                </a:ext>
              </a:extLst>
            </xdr:cNvPr>
            <xdr:cNvGraphicFramePr/>
          </xdr:nvGraphicFramePr>
          <xdr:xfrm>
            <a:off x="0" y="0"/>
            <a:ext cx="0" cy="0"/>
          </xdr:xfrm>
          <a:graphic>
            <a:graphicData uri="http://schemas.microsoft.com/office/drawing/2010/slicer">
              <sle:slicer xmlns:sle="http://schemas.microsoft.com/office/drawing/2010/slicer" name="Projekt 1"/>
            </a:graphicData>
          </a:graphic>
        </xdr:graphicFrame>
      </mc:Choice>
      <mc:Fallback xmlns="">
        <xdr:sp macro="" textlink="">
          <xdr:nvSpPr>
            <xdr:cNvPr id="0" name=""/>
            <xdr:cNvSpPr>
              <a:spLocks noTextEdit="1"/>
            </xdr:cNvSpPr>
          </xdr:nvSpPr>
          <xdr:spPr>
            <a:xfrm>
              <a:off x="14114780" y="91441"/>
              <a:ext cx="1821629" cy="1175273"/>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20</xdr:col>
      <xdr:colOff>76200</xdr:colOff>
      <xdr:row>0</xdr:row>
      <xdr:rowOff>99061</xdr:rowOff>
    </xdr:from>
    <xdr:to>
      <xdr:col>21</xdr:col>
      <xdr:colOff>496993</xdr:colOff>
      <xdr:row>6</xdr:row>
      <xdr:rowOff>137161</xdr:rowOff>
    </xdr:to>
    <mc:AlternateContent xmlns:mc="http://schemas.openxmlformats.org/markup-compatibility/2006" xmlns:sle15="http://schemas.microsoft.com/office/drawing/2012/slicer">
      <mc:Choice Requires="sle15">
        <xdr:graphicFrame macro="">
          <xdr:nvGraphicFramePr>
            <xdr:cNvPr id="9" name="Monat">
              <a:extLst>
                <a:ext uri="{FF2B5EF4-FFF2-40B4-BE49-F238E27FC236}">
                  <a16:creationId xmlns:a16="http://schemas.microsoft.com/office/drawing/2014/main" id="{6EB26C15-98B2-4C9E-9351-5F7EF85E2BB9}"/>
                </a:ext>
              </a:extLst>
            </xdr:cNvPr>
            <xdr:cNvGraphicFramePr/>
          </xdr:nvGraphicFramePr>
          <xdr:xfrm>
            <a:off x="0" y="0"/>
            <a:ext cx="0" cy="0"/>
          </xdr:xfrm>
          <a:graphic>
            <a:graphicData uri="http://schemas.microsoft.com/office/drawing/2010/slicer">
              <sle:slicer xmlns:sle="http://schemas.microsoft.com/office/drawing/2010/slicer" name="Monat"/>
            </a:graphicData>
          </a:graphic>
        </xdr:graphicFrame>
      </mc:Choice>
      <mc:Fallback xmlns="">
        <xdr:sp macro="" textlink="">
          <xdr:nvSpPr>
            <xdr:cNvPr id="0" name=""/>
            <xdr:cNvSpPr>
              <a:spLocks noTextEdit="1"/>
            </xdr:cNvSpPr>
          </xdr:nvSpPr>
          <xdr:spPr>
            <a:xfrm>
              <a:off x="12850906" y="99061"/>
              <a:ext cx="1209687" cy="1167653"/>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xdr:from>
      <xdr:col>11</xdr:col>
      <xdr:colOff>1007534</xdr:colOff>
      <xdr:row>4</xdr:row>
      <xdr:rowOff>87086</xdr:rowOff>
    </xdr:from>
    <xdr:to>
      <xdr:col>11</xdr:col>
      <xdr:colOff>1007534</xdr:colOff>
      <xdr:row>5</xdr:row>
      <xdr:rowOff>127000</xdr:rowOff>
    </xdr:to>
    <xdr:cxnSp macro="">
      <xdr:nvCxnSpPr>
        <xdr:cNvPr id="16" name="Gerade Verbindung mit Pfeil 15">
          <a:extLst>
            <a:ext uri="{FF2B5EF4-FFF2-40B4-BE49-F238E27FC236}">
              <a16:creationId xmlns:a16="http://schemas.microsoft.com/office/drawing/2014/main" id="{451D0108-AC0E-467B-B6ED-5724D3B631BE}"/>
            </a:ext>
          </a:extLst>
        </xdr:cNvPr>
        <xdr:cNvCxnSpPr/>
      </xdr:nvCxnSpPr>
      <xdr:spPr>
        <a:xfrm>
          <a:off x="6049797" y="836023"/>
          <a:ext cx="0" cy="222794"/>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127001</xdr:colOff>
      <xdr:row>7</xdr:row>
      <xdr:rowOff>63500</xdr:rowOff>
    </xdr:from>
    <xdr:to>
      <xdr:col>11</xdr:col>
      <xdr:colOff>2895600</xdr:colOff>
      <xdr:row>11</xdr:row>
      <xdr:rowOff>42333</xdr:rowOff>
    </xdr:to>
    <xdr:sp macro="" textlink="">
      <xdr:nvSpPr>
        <xdr:cNvPr id="20" name="Textfeld 19">
          <a:extLst>
            <a:ext uri="{FF2B5EF4-FFF2-40B4-BE49-F238E27FC236}">
              <a16:creationId xmlns:a16="http://schemas.microsoft.com/office/drawing/2014/main" id="{8D9D33BE-6887-4468-B273-A272BAFB1729}"/>
            </a:ext>
          </a:extLst>
        </xdr:cNvPr>
        <xdr:cNvSpPr txBox="1"/>
      </xdr:nvSpPr>
      <xdr:spPr>
        <a:xfrm>
          <a:off x="3843868" y="1511300"/>
          <a:ext cx="4944532" cy="690033"/>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Unterschreiten</a:t>
          </a:r>
          <a:r>
            <a:rPr lang="de-DE" sz="1200" baseline="0">
              <a:latin typeface="Arial" panose="020B0604020202020204" pitchFamily="34" charset="0"/>
              <a:cs typeface="Arial" panose="020B0604020202020204" pitchFamily="34" charset="0"/>
            </a:rPr>
            <a:t> der erforderlichen Pausenzeiten werden in </a:t>
          </a:r>
          <a:r>
            <a:rPr lang="de-DE" sz="1200" b="1" baseline="0">
              <a:solidFill>
                <a:srgbClr val="FF0000"/>
              </a:solidFill>
              <a:latin typeface="Arial" panose="020B0604020202020204" pitchFamily="34" charset="0"/>
              <a:cs typeface="Arial" panose="020B0604020202020204" pitchFamily="34" charset="0"/>
            </a:rPr>
            <a:t>rot</a:t>
          </a:r>
          <a:r>
            <a:rPr lang="de-DE" sz="1200" b="0" baseline="0">
              <a:solidFill>
                <a:sysClr val="windowText" lastClr="000000"/>
              </a:solidFill>
              <a:latin typeface="Arial" panose="020B0604020202020204" pitchFamily="34" charset="0"/>
              <a:cs typeface="Arial" panose="020B0604020202020204" pitchFamily="34" charset="0"/>
            </a:rPr>
            <a:t> dargestellt (Pausen werden automatisch berechnet). Im vorliegenden Beispiel sind 0,5 h Pause erforderlich.</a:t>
          </a:r>
          <a:endParaRPr lang="de-DE" sz="1200" b="0">
            <a:latin typeface="Arial" panose="020B0604020202020204" pitchFamily="34" charset="0"/>
            <a:cs typeface="Arial" panose="020B0604020202020204" pitchFamily="34" charset="0"/>
          </a:endParaRPr>
        </a:p>
      </xdr:txBody>
    </xdr:sp>
    <xdr:clientData/>
  </xdr:twoCellAnchor>
  <xdr:twoCellAnchor>
    <xdr:from>
      <xdr:col>8</xdr:col>
      <xdr:colOff>327660</xdr:colOff>
      <xdr:row>9</xdr:row>
      <xdr:rowOff>52917</xdr:rowOff>
    </xdr:from>
    <xdr:to>
      <xdr:col>9</xdr:col>
      <xdr:colOff>127001</xdr:colOff>
      <xdr:row>9</xdr:row>
      <xdr:rowOff>52917</xdr:rowOff>
    </xdr:to>
    <xdr:cxnSp macro="">
      <xdr:nvCxnSpPr>
        <xdr:cNvPr id="21" name="Gerade Verbindung mit Pfeil 20">
          <a:extLst>
            <a:ext uri="{FF2B5EF4-FFF2-40B4-BE49-F238E27FC236}">
              <a16:creationId xmlns:a16="http://schemas.microsoft.com/office/drawing/2014/main" id="{B22B89B9-4407-4DD5-90B7-A371CD65F58B}"/>
            </a:ext>
          </a:extLst>
        </xdr:cNvPr>
        <xdr:cNvCxnSpPr>
          <a:stCxn id="20" idx="1"/>
        </xdr:cNvCxnSpPr>
      </xdr:nvCxnSpPr>
      <xdr:spPr>
        <a:xfrm flipH="1">
          <a:off x="3606888" y="1850186"/>
          <a:ext cx="225010" cy="0"/>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128586</xdr:colOff>
      <xdr:row>11</xdr:row>
      <xdr:rowOff>97367</xdr:rowOff>
    </xdr:from>
    <xdr:to>
      <xdr:col>11</xdr:col>
      <xdr:colOff>2898328</xdr:colOff>
      <xdr:row>14</xdr:row>
      <xdr:rowOff>50800</xdr:rowOff>
    </xdr:to>
    <xdr:sp macro="" textlink="">
      <xdr:nvSpPr>
        <xdr:cNvPr id="26" name="Textfeld 25">
          <a:extLst>
            <a:ext uri="{FF2B5EF4-FFF2-40B4-BE49-F238E27FC236}">
              <a16:creationId xmlns:a16="http://schemas.microsoft.com/office/drawing/2014/main" id="{399D72DE-33BE-4025-8576-4053DFFA52DC}"/>
            </a:ext>
          </a:extLst>
        </xdr:cNvPr>
        <xdr:cNvSpPr txBox="1"/>
      </xdr:nvSpPr>
      <xdr:spPr>
        <a:xfrm>
          <a:off x="3857904" y="2266826"/>
          <a:ext cx="4939200" cy="491315"/>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Überschreiten</a:t>
          </a:r>
          <a:r>
            <a:rPr lang="de-DE" sz="1200" baseline="0">
              <a:latin typeface="Arial" panose="020B0604020202020204" pitchFamily="34" charset="0"/>
              <a:cs typeface="Arial" panose="020B0604020202020204" pitchFamily="34" charset="0"/>
            </a:rPr>
            <a:t> der maximalen Arbeitszeit pro Tag wird in </a:t>
          </a:r>
          <a:r>
            <a:rPr lang="de-DE" sz="1200" b="1" baseline="0">
              <a:solidFill>
                <a:srgbClr val="FF0000"/>
              </a:solidFill>
              <a:latin typeface="Arial" panose="020B0604020202020204" pitchFamily="34" charset="0"/>
              <a:cs typeface="Arial" panose="020B0604020202020204" pitchFamily="34" charset="0"/>
            </a:rPr>
            <a:t>rot</a:t>
          </a:r>
          <a:r>
            <a:rPr lang="de-DE" sz="1200" b="0" baseline="0">
              <a:solidFill>
                <a:sysClr val="windowText" lastClr="000000"/>
              </a:solidFill>
              <a:latin typeface="Arial" panose="020B0604020202020204" pitchFamily="34" charset="0"/>
              <a:cs typeface="Arial" panose="020B0604020202020204" pitchFamily="34" charset="0"/>
            </a:rPr>
            <a:t> dargestellt</a:t>
          </a:r>
          <a:endParaRPr lang="de-DE" sz="1200" b="0">
            <a:latin typeface="Arial" panose="020B0604020202020204" pitchFamily="34" charset="0"/>
            <a:cs typeface="Arial" panose="020B0604020202020204" pitchFamily="34" charset="0"/>
          </a:endParaRPr>
        </a:p>
      </xdr:txBody>
    </xdr:sp>
    <xdr:clientData/>
  </xdr:twoCellAnchor>
  <xdr:twoCellAnchor>
    <xdr:from>
      <xdr:col>7</xdr:col>
      <xdr:colOff>338670</xdr:colOff>
      <xdr:row>12</xdr:row>
      <xdr:rowOff>127000</xdr:rowOff>
    </xdr:from>
    <xdr:to>
      <xdr:col>9</xdr:col>
      <xdr:colOff>128586</xdr:colOff>
      <xdr:row>12</xdr:row>
      <xdr:rowOff>163731</xdr:rowOff>
    </xdr:to>
    <xdr:cxnSp macro="">
      <xdr:nvCxnSpPr>
        <xdr:cNvPr id="27" name="Gerade Verbindung mit Pfeil 26">
          <a:extLst>
            <a:ext uri="{FF2B5EF4-FFF2-40B4-BE49-F238E27FC236}">
              <a16:creationId xmlns:a16="http://schemas.microsoft.com/office/drawing/2014/main" id="{A37BFB2B-8422-42B8-9835-5BAD839AF06F}"/>
            </a:ext>
          </a:extLst>
        </xdr:cNvPr>
        <xdr:cNvCxnSpPr>
          <a:stCxn id="26" idx="1"/>
        </xdr:cNvCxnSpPr>
      </xdr:nvCxnSpPr>
      <xdr:spPr>
        <a:xfrm flipH="1" flipV="1">
          <a:off x="3207376" y="2475753"/>
          <a:ext cx="650528" cy="36731"/>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723900</xdr:colOff>
      <xdr:row>8</xdr:row>
      <xdr:rowOff>106680</xdr:rowOff>
    </xdr:from>
    <xdr:to>
      <xdr:col>8</xdr:col>
      <xdr:colOff>708660</xdr:colOff>
      <xdr:row>13</xdr:row>
      <xdr:rowOff>121920</xdr:rowOff>
    </xdr:to>
    <xdr:sp macro="" textlink="">
      <xdr:nvSpPr>
        <xdr:cNvPr id="2" name="Textfeld 1">
          <a:extLst>
            <a:ext uri="{FF2B5EF4-FFF2-40B4-BE49-F238E27FC236}">
              <a16:creationId xmlns:a16="http://schemas.microsoft.com/office/drawing/2014/main" id="{C9A6C627-BDBD-46CE-9AF5-9142A9795EFF}"/>
            </a:ext>
          </a:extLst>
        </xdr:cNvPr>
        <xdr:cNvSpPr txBox="1"/>
      </xdr:nvSpPr>
      <xdr:spPr>
        <a:xfrm>
          <a:off x="1760220" y="1463040"/>
          <a:ext cx="5631180" cy="89154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In dieser Tabelle werden alle Abwesenheitstage eingetragen.</a:t>
          </a:r>
        </a:p>
        <a:p>
          <a:r>
            <a:rPr lang="de-DE" sz="1200">
              <a:latin typeface="Arial" panose="020B0604020202020204" pitchFamily="34" charset="0"/>
              <a:cs typeface="Arial" panose="020B0604020202020204" pitchFamily="34" charset="0"/>
            </a:rPr>
            <a:t>Jeder abwesende Arbeitstag erhält eine Zeile.</a:t>
          </a:r>
        </a:p>
        <a:p>
          <a:r>
            <a:rPr lang="de-DE" sz="1200">
              <a:latin typeface="Arial" panose="020B0604020202020204" pitchFamily="34" charset="0"/>
              <a:cs typeface="Arial" panose="020B0604020202020204" pitchFamily="34" charset="0"/>
            </a:rPr>
            <a:t>Abwesende</a:t>
          </a:r>
          <a:r>
            <a:rPr lang="de-DE" sz="1200" baseline="0">
              <a:latin typeface="Arial" panose="020B0604020202020204" pitchFamily="34" charset="0"/>
              <a:cs typeface="Arial" panose="020B0604020202020204" pitchFamily="34" charset="0"/>
            </a:rPr>
            <a:t> Tage werden nicht in die Überstundenberechnung miteinbezogen.</a:t>
          </a:r>
        </a:p>
        <a:p>
          <a:r>
            <a:rPr lang="de-DE" sz="1200" baseline="0">
              <a:latin typeface="Arial" panose="020B0604020202020204" pitchFamily="34" charset="0"/>
              <a:cs typeface="Arial" panose="020B0604020202020204" pitchFamily="34" charset="0"/>
            </a:rPr>
            <a:t>ACHTUNG: keine Einträge an Feiertagen oder Wochenenden</a:t>
          </a:r>
          <a:endParaRPr lang="de-DE" sz="1200">
            <a:latin typeface="Arial" panose="020B0604020202020204" pitchFamily="34" charset="0"/>
            <a:cs typeface="Arial" panose="020B0604020202020204" pitchFamily="34" charset="0"/>
          </a:endParaRPr>
        </a:p>
      </xdr:txBody>
    </xdr:sp>
    <xdr:clientData/>
  </xdr:twoCellAnchor>
  <xdr:twoCellAnchor editAs="oneCell">
    <xdr:from>
      <xdr:col>6</xdr:col>
      <xdr:colOff>91439</xdr:colOff>
      <xdr:row>1</xdr:row>
      <xdr:rowOff>0</xdr:rowOff>
    </xdr:from>
    <xdr:to>
      <xdr:col>8</xdr:col>
      <xdr:colOff>748448</xdr:colOff>
      <xdr:row>4</xdr:row>
      <xdr:rowOff>74317</xdr:rowOff>
    </xdr:to>
    <xdr:pic>
      <xdr:nvPicPr>
        <xdr:cNvPr id="3" name="Grafik 2">
          <a:extLst>
            <a:ext uri="{FF2B5EF4-FFF2-40B4-BE49-F238E27FC236}">
              <a16:creationId xmlns:a16="http://schemas.microsoft.com/office/drawing/2014/main" id="{60093182-4A25-407A-A8D9-825BDC4098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9219" y="175260"/>
          <a:ext cx="2241969" cy="5162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42333</xdr:colOff>
      <xdr:row>19</xdr:row>
      <xdr:rowOff>112608</xdr:rowOff>
    </xdr:from>
    <xdr:to>
      <xdr:col>4</xdr:col>
      <xdr:colOff>491066</xdr:colOff>
      <xdr:row>26</xdr:row>
      <xdr:rowOff>143435</xdr:rowOff>
    </xdr:to>
    <xdr:sp macro="" textlink="">
      <xdr:nvSpPr>
        <xdr:cNvPr id="2" name="Textfeld 1">
          <a:extLst>
            <a:ext uri="{FF2B5EF4-FFF2-40B4-BE49-F238E27FC236}">
              <a16:creationId xmlns:a16="http://schemas.microsoft.com/office/drawing/2014/main" id="{0130D0E3-EE63-4161-A4A5-C0B3B598FB24}"/>
            </a:ext>
          </a:extLst>
        </xdr:cNvPr>
        <xdr:cNvSpPr txBox="1"/>
      </xdr:nvSpPr>
      <xdr:spPr>
        <a:xfrm>
          <a:off x="1889062" y="3806067"/>
          <a:ext cx="2026522" cy="1348639"/>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Summe der Arbeitstage je</a:t>
          </a:r>
          <a:r>
            <a:rPr lang="de-DE" sz="1200" baseline="0">
              <a:latin typeface="Arial" panose="020B0604020202020204" pitchFamily="34" charset="0"/>
              <a:cs typeface="Arial" panose="020B0604020202020204" pitchFamily="34" charset="0"/>
            </a:rPr>
            <a:t> Monat:</a:t>
          </a:r>
        </a:p>
        <a:p>
          <a:r>
            <a:rPr lang="de-DE" sz="1200" baseline="0">
              <a:latin typeface="Arial" panose="020B0604020202020204" pitchFamily="34" charset="0"/>
              <a:cs typeface="Arial" panose="020B0604020202020204" pitchFamily="34" charset="0"/>
            </a:rPr>
            <a:t>- Montag bis Freitag sind Arbeitstage</a:t>
          </a:r>
          <a:br>
            <a:rPr lang="de-DE" sz="1200" baseline="0">
              <a:latin typeface="Arial" panose="020B0604020202020204" pitchFamily="34" charset="0"/>
              <a:cs typeface="Arial" panose="020B0604020202020204" pitchFamily="34" charset="0"/>
            </a:rPr>
          </a:br>
          <a:r>
            <a:rPr lang="de-DE" sz="1200" baseline="0">
              <a:latin typeface="Arial" panose="020B0604020202020204" pitchFamily="34" charset="0"/>
              <a:cs typeface="Arial" panose="020B0604020202020204" pitchFamily="34" charset="0"/>
            </a:rPr>
            <a:t>- Feiertage laut Tabellenblatt "Feiertage" sind keine Arbeitstage</a:t>
          </a:r>
          <a:endParaRPr lang="de-DE" sz="1200">
            <a:latin typeface="Arial" panose="020B0604020202020204" pitchFamily="34" charset="0"/>
            <a:cs typeface="Arial" panose="020B0604020202020204" pitchFamily="34" charset="0"/>
          </a:endParaRPr>
        </a:p>
      </xdr:txBody>
    </xdr:sp>
    <xdr:clientData/>
  </xdr:twoCellAnchor>
  <xdr:twoCellAnchor>
    <xdr:from>
      <xdr:col>3</xdr:col>
      <xdr:colOff>441960</xdr:colOff>
      <xdr:row>18</xdr:row>
      <xdr:rowOff>101600</xdr:rowOff>
    </xdr:from>
    <xdr:to>
      <xdr:col>4</xdr:col>
      <xdr:colOff>135467</xdr:colOff>
      <xdr:row>19</xdr:row>
      <xdr:rowOff>16935</xdr:rowOff>
    </xdr:to>
    <xdr:cxnSp macro="">
      <xdr:nvCxnSpPr>
        <xdr:cNvPr id="3" name="Gerade Verbindung mit Pfeil 2">
          <a:extLst>
            <a:ext uri="{FF2B5EF4-FFF2-40B4-BE49-F238E27FC236}">
              <a16:creationId xmlns:a16="http://schemas.microsoft.com/office/drawing/2014/main" id="{32FBBFD2-C6CA-44C0-BA59-38864AC177E0}"/>
            </a:ext>
          </a:extLst>
        </xdr:cNvPr>
        <xdr:cNvCxnSpPr/>
      </xdr:nvCxnSpPr>
      <xdr:spPr>
        <a:xfrm flipV="1">
          <a:off x="2313093" y="3420533"/>
          <a:ext cx="489374" cy="110069"/>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778933</xdr:colOff>
      <xdr:row>19</xdr:row>
      <xdr:rowOff>120229</xdr:rowOff>
    </xdr:from>
    <xdr:to>
      <xdr:col>7</xdr:col>
      <xdr:colOff>461433</xdr:colOff>
      <xdr:row>22</xdr:row>
      <xdr:rowOff>97369</xdr:rowOff>
    </xdr:to>
    <xdr:sp macro="" textlink="">
      <xdr:nvSpPr>
        <xdr:cNvPr id="7" name="Textfeld 6">
          <a:extLst>
            <a:ext uri="{FF2B5EF4-FFF2-40B4-BE49-F238E27FC236}">
              <a16:creationId xmlns:a16="http://schemas.microsoft.com/office/drawing/2014/main" id="{D84B67E1-6150-4A65-9435-134BA4D5916C}"/>
            </a:ext>
          </a:extLst>
        </xdr:cNvPr>
        <xdr:cNvSpPr txBox="1"/>
      </xdr:nvSpPr>
      <xdr:spPr>
        <a:xfrm>
          <a:off x="5156200" y="3921762"/>
          <a:ext cx="1604433" cy="56134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laut Tabellenblatt</a:t>
          </a:r>
          <a:r>
            <a:rPr lang="de-DE" sz="1200" baseline="0">
              <a:latin typeface="Arial" panose="020B0604020202020204" pitchFamily="34" charset="0"/>
              <a:cs typeface="Arial" panose="020B0604020202020204" pitchFamily="34" charset="0"/>
            </a:rPr>
            <a:t> "Abwesenheitstage"</a:t>
          </a:r>
          <a:endParaRPr lang="de-DE" sz="1200">
            <a:latin typeface="Arial" panose="020B0604020202020204" pitchFamily="34" charset="0"/>
            <a:cs typeface="Arial" panose="020B0604020202020204" pitchFamily="34" charset="0"/>
          </a:endParaRPr>
        </a:p>
      </xdr:txBody>
    </xdr:sp>
    <xdr:clientData/>
  </xdr:twoCellAnchor>
  <xdr:twoCellAnchor>
    <xdr:from>
      <xdr:col>6</xdr:col>
      <xdr:colOff>393469</xdr:colOff>
      <xdr:row>18</xdr:row>
      <xdr:rowOff>95191</xdr:rowOff>
    </xdr:from>
    <xdr:to>
      <xdr:col>6</xdr:col>
      <xdr:colOff>397823</xdr:colOff>
      <xdr:row>19</xdr:row>
      <xdr:rowOff>64711</xdr:rowOff>
    </xdr:to>
    <xdr:cxnSp macro="">
      <xdr:nvCxnSpPr>
        <xdr:cNvPr id="8" name="Gerade Verbindung mit Pfeil 7">
          <a:extLst>
            <a:ext uri="{FF2B5EF4-FFF2-40B4-BE49-F238E27FC236}">
              <a16:creationId xmlns:a16="http://schemas.microsoft.com/office/drawing/2014/main" id="{F043C370-6007-44A0-A0F5-16A3DC877648}"/>
            </a:ext>
          </a:extLst>
        </xdr:cNvPr>
        <xdr:cNvCxnSpPr/>
      </xdr:nvCxnSpPr>
      <xdr:spPr>
        <a:xfrm flipH="1" flipV="1">
          <a:off x="4889269" y="3414124"/>
          <a:ext cx="4354" cy="164254"/>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578757</xdr:colOff>
      <xdr:row>22</xdr:row>
      <xdr:rowOff>190985</xdr:rowOff>
    </xdr:from>
    <xdr:to>
      <xdr:col>6</xdr:col>
      <xdr:colOff>660400</xdr:colOff>
      <xdr:row>26</xdr:row>
      <xdr:rowOff>84666</xdr:rowOff>
    </xdr:to>
    <xdr:sp macro="" textlink="">
      <xdr:nvSpPr>
        <xdr:cNvPr id="18" name="Textfeld 17">
          <a:extLst>
            <a:ext uri="{FF2B5EF4-FFF2-40B4-BE49-F238E27FC236}">
              <a16:creationId xmlns:a16="http://schemas.microsoft.com/office/drawing/2014/main" id="{0B56AA3E-16E7-4DEC-B629-EE1749E14234}"/>
            </a:ext>
          </a:extLst>
        </xdr:cNvPr>
        <xdr:cNvSpPr txBox="1"/>
      </xdr:nvSpPr>
      <xdr:spPr>
        <a:xfrm>
          <a:off x="4016224" y="4576718"/>
          <a:ext cx="2147509" cy="672615"/>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Arbeitsstunden</a:t>
          </a:r>
          <a:r>
            <a:rPr lang="de-DE" sz="1200" baseline="0">
              <a:latin typeface="Arial" panose="020B0604020202020204" pitchFamily="34" charset="0"/>
              <a:cs typeface="Arial" panose="020B0604020202020204" pitchFamily="34" charset="0"/>
            </a:rPr>
            <a:t> für alle Arbeitstage pro Monat (noch ohne Abwesenheiten)</a:t>
          </a:r>
          <a:endParaRPr lang="de-DE" sz="1200">
            <a:latin typeface="Arial" panose="020B0604020202020204" pitchFamily="34" charset="0"/>
            <a:cs typeface="Arial" panose="020B0604020202020204" pitchFamily="34" charset="0"/>
          </a:endParaRPr>
        </a:p>
      </xdr:txBody>
    </xdr:sp>
    <xdr:clientData/>
  </xdr:twoCellAnchor>
  <xdr:twoCellAnchor>
    <xdr:from>
      <xdr:col>5</xdr:col>
      <xdr:colOff>530031</xdr:colOff>
      <xdr:row>18</xdr:row>
      <xdr:rowOff>93134</xdr:rowOff>
    </xdr:from>
    <xdr:to>
      <xdr:col>5</xdr:col>
      <xdr:colOff>533400</xdr:colOff>
      <xdr:row>22</xdr:row>
      <xdr:rowOff>130026</xdr:rowOff>
    </xdr:to>
    <xdr:cxnSp macro="">
      <xdr:nvCxnSpPr>
        <xdr:cNvPr id="19" name="Gerade Verbindung mit Pfeil 18">
          <a:extLst>
            <a:ext uri="{FF2B5EF4-FFF2-40B4-BE49-F238E27FC236}">
              <a16:creationId xmlns:a16="http://schemas.microsoft.com/office/drawing/2014/main" id="{2E7530F3-4356-4271-B560-82A3006C2E03}"/>
            </a:ext>
          </a:extLst>
        </xdr:cNvPr>
        <xdr:cNvCxnSpPr/>
      </xdr:nvCxnSpPr>
      <xdr:spPr>
        <a:xfrm flipV="1">
          <a:off x="3992898" y="3412067"/>
          <a:ext cx="3369" cy="815826"/>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34735</xdr:colOff>
      <xdr:row>19</xdr:row>
      <xdr:rowOff>118326</xdr:rowOff>
    </xdr:from>
    <xdr:to>
      <xdr:col>9</xdr:col>
      <xdr:colOff>0</xdr:colOff>
      <xdr:row>23</xdr:row>
      <xdr:rowOff>101898</xdr:rowOff>
    </xdr:to>
    <xdr:sp macro="" textlink="">
      <xdr:nvSpPr>
        <xdr:cNvPr id="21" name="Textfeld 20">
          <a:extLst>
            <a:ext uri="{FF2B5EF4-FFF2-40B4-BE49-F238E27FC236}">
              <a16:creationId xmlns:a16="http://schemas.microsoft.com/office/drawing/2014/main" id="{63D154F6-F905-448F-880D-30C7B2504074}"/>
            </a:ext>
          </a:extLst>
        </xdr:cNvPr>
        <xdr:cNvSpPr txBox="1"/>
      </xdr:nvSpPr>
      <xdr:spPr>
        <a:xfrm>
          <a:off x="7115473" y="3904880"/>
          <a:ext cx="1254804" cy="757295"/>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laut Tabellenblatt</a:t>
          </a:r>
          <a:r>
            <a:rPr lang="de-DE" sz="1200" baseline="0">
              <a:latin typeface="Arial" panose="020B0604020202020204" pitchFamily="34" charset="0"/>
              <a:cs typeface="Arial" panose="020B0604020202020204" pitchFamily="34" charset="0"/>
            </a:rPr>
            <a:t> "Zeiterfassung"</a:t>
          </a:r>
          <a:endParaRPr lang="de-DE" sz="1200">
            <a:latin typeface="Arial" panose="020B0604020202020204" pitchFamily="34" charset="0"/>
            <a:cs typeface="Arial" panose="020B0604020202020204" pitchFamily="34" charset="0"/>
          </a:endParaRPr>
        </a:p>
      </xdr:txBody>
    </xdr:sp>
    <xdr:clientData/>
  </xdr:twoCellAnchor>
  <xdr:twoCellAnchor>
    <xdr:from>
      <xdr:col>8</xdr:col>
      <xdr:colOff>947650</xdr:colOff>
      <xdr:row>18</xdr:row>
      <xdr:rowOff>95191</xdr:rowOff>
    </xdr:from>
    <xdr:to>
      <xdr:col>8</xdr:col>
      <xdr:colOff>952004</xdr:colOff>
      <xdr:row>19</xdr:row>
      <xdr:rowOff>64711</xdr:rowOff>
    </xdr:to>
    <xdr:cxnSp macro="">
      <xdr:nvCxnSpPr>
        <xdr:cNvPr id="22" name="Gerade Verbindung mit Pfeil 21">
          <a:extLst>
            <a:ext uri="{FF2B5EF4-FFF2-40B4-BE49-F238E27FC236}">
              <a16:creationId xmlns:a16="http://schemas.microsoft.com/office/drawing/2014/main" id="{0448C552-60ED-42DB-8591-C3D533CD6005}"/>
            </a:ext>
          </a:extLst>
        </xdr:cNvPr>
        <xdr:cNvCxnSpPr/>
      </xdr:nvCxnSpPr>
      <xdr:spPr>
        <a:xfrm flipH="1" flipV="1">
          <a:off x="7035183" y="3414124"/>
          <a:ext cx="4354" cy="164254"/>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127001</xdr:colOff>
      <xdr:row>19</xdr:row>
      <xdr:rowOff>124188</xdr:rowOff>
    </xdr:from>
    <xdr:to>
      <xdr:col>12</xdr:col>
      <xdr:colOff>855133</xdr:colOff>
      <xdr:row>23</xdr:row>
      <xdr:rowOff>107388</xdr:rowOff>
    </xdr:to>
    <xdr:sp macro="" textlink="">
      <xdr:nvSpPr>
        <xdr:cNvPr id="23" name="Textfeld 22">
          <a:extLst>
            <a:ext uri="{FF2B5EF4-FFF2-40B4-BE49-F238E27FC236}">
              <a16:creationId xmlns:a16="http://schemas.microsoft.com/office/drawing/2014/main" id="{D9738647-98E5-45C0-9FC4-5E6B9EBFF586}"/>
            </a:ext>
          </a:extLst>
        </xdr:cNvPr>
        <xdr:cNvSpPr txBox="1"/>
      </xdr:nvSpPr>
      <xdr:spPr>
        <a:xfrm>
          <a:off x="11869421" y="3857988"/>
          <a:ext cx="1642532" cy="74520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laut Tabellenblatt</a:t>
          </a:r>
          <a:r>
            <a:rPr lang="de-DE" sz="1200" baseline="0">
              <a:latin typeface="Arial" panose="020B0604020202020204" pitchFamily="34" charset="0"/>
              <a:cs typeface="Arial" panose="020B0604020202020204" pitchFamily="34" charset="0"/>
            </a:rPr>
            <a:t> "Abwesenheitstage"</a:t>
          </a:r>
          <a:endParaRPr lang="de-DE" sz="1200">
            <a:latin typeface="Arial" panose="020B0604020202020204" pitchFamily="34" charset="0"/>
            <a:cs typeface="Arial" panose="020B0604020202020204" pitchFamily="34" charset="0"/>
          </a:endParaRPr>
        </a:p>
      </xdr:txBody>
    </xdr:sp>
    <xdr:clientData/>
  </xdr:twoCellAnchor>
  <xdr:twoCellAnchor>
    <xdr:from>
      <xdr:col>12</xdr:col>
      <xdr:colOff>608214</xdr:colOff>
      <xdr:row>18</xdr:row>
      <xdr:rowOff>95191</xdr:rowOff>
    </xdr:from>
    <xdr:to>
      <xdr:col>12</xdr:col>
      <xdr:colOff>612568</xdr:colOff>
      <xdr:row>19</xdr:row>
      <xdr:rowOff>64711</xdr:rowOff>
    </xdr:to>
    <xdr:cxnSp macro="">
      <xdr:nvCxnSpPr>
        <xdr:cNvPr id="24" name="Gerade Verbindung mit Pfeil 23">
          <a:extLst>
            <a:ext uri="{FF2B5EF4-FFF2-40B4-BE49-F238E27FC236}">
              <a16:creationId xmlns:a16="http://schemas.microsoft.com/office/drawing/2014/main" id="{26B62587-D41C-4E4E-BF3E-F825296DE9C2}"/>
            </a:ext>
          </a:extLst>
        </xdr:cNvPr>
        <xdr:cNvCxnSpPr/>
      </xdr:nvCxnSpPr>
      <xdr:spPr>
        <a:xfrm flipH="1" flipV="1">
          <a:off x="9168014" y="3414124"/>
          <a:ext cx="4354" cy="164254"/>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93134</xdr:colOff>
      <xdr:row>19</xdr:row>
      <xdr:rowOff>121171</xdr:rowOff>
    </xdr:from>
    <xdr:to>
      <xdr:col>9</xdr:col>
      <xdr:colOff>1477617</xdr:colOff>
      <xdr:row>23</xdr:row>
      <xdr:rowOff>104371</xdr:rowOff>
    </xdr:to>
    <xdr:sp macro="" textlink="">
      <xdr:nvSpPr>
        <xdr:cNvPr id="31" name="Textfeld 30">
          <a:extLst>
            <a:ext uri="{FF2B5EF4-FFF2-40B4-BE49-F238E27FC236}">
              <a16:creationId xmlns:a16="http://schemas.microsoft.com/office/drawing/2014/main" id="{CB28F090-C8B0-4119-A95D-389E97B9598E}"/>
            </a:ext>
          </a:extLst>
        </xdr:cNvPr>
        <xdr:cNvSpPr txBox="1"/>
      </xdr:nvSpPr>
      <xdr:spPr>
        <a:xfrm>
          <a:off x="8467514" y="3854971"/>
          <a:ext cx="1384483" cy="74520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Überstunden bis heute</a:t>
          </a:r>
        </a:p>
      </xdr:txBody>
    </xdr:sp>
    <xdr:clientData/>
  </xdr:twoCellAnchor>
  <xdr:twoCellAnchor>
    <xdr:from>
      <xdr:col>9</xdr:col>
      <xdr:colOff>1068493</xdr:colOff>
      <xdr:row>18</xdr:row>
      <xdr:rowOff>95193</xdr:rowOff>
    </xdr:from>
    <xdr:to>
      <xdr:col>9</xdr:col>
      <xdr:colOff>1068493</xdr:colOff>
      <xdr:row>19</xdr:row>
      <xdr:rowOff>67734</xdr:rowOff>
    </xdr:to>
    <xdr:cxnSp macro="">
      <xdr:nvCxnSpPr>
        <xdr:cNvPr id="32" name="Gerade Verbindung mit Pfeil 31">
          <a:extLst>
            <a:ext uri="{FF2B5EF4-FFF2-40B4-BE49-F238E27FC236}">
              <a16:creationId xmlns:a16="http://schemas.microsoft.com/office/drawing/2014/main" id="{52400636-AA15-4D5E-90C8-B86546CCB68E}"/>
            </a:ext>
          </a:extLst>
        </xdr:cNvPr>
        <xdr:cNvCxnSpPr/>
      </xdr:nvCxnSpPr>
      <xdr:spPr>
        <a:xfrm flipV="1">
          <a:off x="5267960" y="3701993"/>
          <a:ext cx="0" cy="167274"/>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608214</xdr:colOff>
      <xdr:row>18</xdr:row>
      <xdr:rowOff>95191</xdr:rowOff>
    </xdr:from>
    <xdr:to>
      <xdr:col>11</xdr:col>
      <xdr:colOff>612568</xdr:colOff>
      <xdr:row>19</xdr:row>
      <xdr:rowOff>64711</xdr:rowOff>
    </xdr:to>
    <xdr:cxnSp macro="">
      <xdr:nvCxnSpPr>
        <xdr:cNvPr id="33" name="Gerade Verbindung mit Pfeil 32">
          <a:extLst>
            <a:ext uri="{FF2B5EF4-FFF2-40B4-BE49-F238E27FC236}">
              <a16:creationId xmlns:a16="http://schemas.microsoft.com/office/drawing/2014/main" id="{058B3422-D285-466C-94FC-F477B6A84DBE}"/>
            </a:ext>
          </a:extLst>
        </xdr:cNvPr>
        <xdr:cNvCxnSpPr/>
      </xdr:nvCxnSpPr>
      <xdr:spPr>
        <a:xfrm flipH="1" flipV="1">
          <a:off x="12495414" y="3803591"/>
          <a:ext cx="4354" cy="164253"/>
        </a:xfrm>
        <a:prstGeom prst="straightConnector1">
          <a:avLst/>
        </a:prstGeom>
        <a:ln w="28575">
          <a:solidFill>
            <a:srgbClr val="244D8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33868</xdr:colOff>
      <xdr:row>3</xdr:row>
      <xdr:rowOff>42332</xdr:rowOff>
    </xdr:from>
    <xdr:to>
      <xdr:col>1</xdr:col>
      <xdr:colOff>1481668</xdr:colOff>
      <xdr:row>3</xdr:row>
      <xdr:rowOff>375729</xdr:rowOff>
    </xdr:to>
    <xdr:pic>
      <xdr:nvPicPr>
        <xdr:cNvPr id="36" name="Grafik 35">
          <a:extLst>
            <a:ext uri="{FF2B5EF4-FFF2-40B4-BE49-F238E27FC236}">
              <a16:creationId xmlns:a16="http://schemas.microsoft.com/office/drawing/2014/main" id="{B22B788E-83E1-45A6-9553-F260475E0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268" y="626532"/>
          <a:ext cx="1447800" cy="3333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121920</xdr:colOff>
      <xdr:row>0</xdr:row>
      <xdr:rowOff>91439</xdr:rowOff>
    </xdr:from>
    <xdr:to>
      <xdr:col>19</xdr:col>
      <xdr:colOff>87085</xdr:colOff>
      <xdr:row>7</xdr:row>
      <xdr:rowOff>119743</xdr:rowOff>
    </xdr:to>
    <xdr:sp macro="" textlink="">
      <xdr:nvSpPr>
        <xdr:cNvPr id="2" name="Textfeld 1">
          <a:extLst>
            <a:ext uri="{FF2B5EF4-FFF2-40B4-BE49-F238E27FC236}">
              <a16:creationId xmlns:a16="http://schemas.microsoft.com/office/drawing/2014/main" id="{B7688594-FD46-49FE-B121-F67405015E35}"/>
            </a:ext>
          </a:extLst>
        </xdr:cNvPr>
        <xdr:cNvSpPr txBox="1"/>
      </xdr:nvSpPr>
      <xdr:spPr>
        <a:xfrm>
          <a:off x="12041777" y="91439"/>
          <a:ext cx="3143794" cy="1508761"/>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aseline="0">
              <a:solidFill>
                <a:schemeClr val="dk1"/>
              </a:solidFill>
              <a:effectLst/>
              <a:latin typeface="Arial" panose="020B0604020202020204" pitchFamily="34" charset="0"/>
              <a:ea typeface="+mn-ea"/>
              <a:cs typeface="Arial" panose="020B0604020202020204" pitchFamily="34" charset="0"/>
            </a:rPr>
            <a:t>Die Liste kann beliebig nach unten erweitert werden.</a:t>
          </a:r>
          <a:endParaRPr lang="de-DE" sz="1200">
            <a:effectLst/>
            <a:latin typeface="Arial" panose="020B0604020202020204" pitchFamily="34" charset="0"/>
            <a:cs typeface="Arial" panose="020B0604020202020204" pitchFamily="34" charset="0"/>
          </a:endParaRPr>
        </a:p>
        <a:p>
          <a:r>
            <a:rPr lang="de-DE" sz="1200" baseline="0">
              <a:solidFill>
                <a:schemeClr val="dk1"/>
              </a:solidFill>
              <a:effectLst/>
              <a:latin typeface="Arial" panose="020B0604020202020204" pitchFamily="34" charset="0"/>
              <a:ea typeface="+mn-ea"/>
              <a:cs typeface="Arial" panose="020B0604020202020204" pitchFamily="34" charset="0"/>
            </a:rPr>
            <a:t>Am Besten kopieren Sie die Vorgängerzeile und fügen diese mit "Zellen einfügen" in die Tabelle ein, sodass die letzte Zeile (Summe) nach unten geschoben wird.</a:t>
          </a:r>
          <a:endParaRPr lang="de-DE" sz="1200">
            <a:effectLst/>
            <a:latin typeface="Arial" panose="020B0604020202020204" pitchFamily="34" charset="0"/>
            <a:cs typeface="Arial" panose="020B0604020202020204" pitchFamily="34" charset="0"/>
          </a:endParaRPr>
        </a:p>
      </xdr:txBody>
    </xdr:sp>
    <xdr:clientData/>
  </xdr:twoCellAnchor>
  <xdr:twoCellAnchor>
    <xdr:from>
      <xdr:col>1</xdr:col>
      <xdr:colOff>65315</xdr:colOff>
      <xdr:row>13</xdr:row>
      <xdr:rowOff>61502</xdr:rowOff>
    </xdr:from>
    <xdr:to>
      <xdr:col>12</xdr:col>
      <xdr:colOff>751114</xdr:colOff>
      <xdr:row>40</xdr:row>
      <xdr:rowOff>76200</xdr:rowOff>
    </xdr:to>
    <xdr:graphicFrame macro="">
      <xdr:nvGraphicFramePr>
        <xdr:cNvPr id="3" name="Diagramm 2">
          <a:extLst>
            <a:ext uri="{FF2B5EF4-FFF2-40B4-BE49-F238E27FC236}">
              <a16:creationId xmlns:a16="http://schemas.microsoft.com/office/drawing/2014/main" id="{C5486056-E011-40A1-BBC8-5928850416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0</xdr:colOff>
      <xdr:row>13</xdr:row>
      <xdr:rowOff>105725</xdr:rowOff>
    </xdr:from>
    <xdr:to>
      <xdr:col>12</xdr:col>
      <xdr:colOff>653143</xdr:colOff>
      <xdr:row>15</xdr:row>
      <xdr:rowOff>90779</xdr:rowOff>
    </xdr:to>
    <xdr:pic>
      <xdr:nvPicPr>
        <xdr:cNvPr id="4" name="Grafik 3">
          <a:extLst>
            <a:ext uri="{FF2B5EF4-FFF2-40B4-BE49-F238E27FC236}">
              <a16:creationId xmlns:a16="http://schemas.microsoft.com/office/drawing/2014/main" id="{18DBA8D4-7B6D-4626-8F69-CD542102ED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1229" y="2848925"/>
          <a:ext cx="1447800" cy="333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65315</xdr:colOff>
      <xdr:row>13</xdr:row>
      <xdr:rowOff>61502</xdr:rowOff>
    </xdr:from>
    <xdr:to>
      <xdr:col>12</xdr:col>
      <xdr:colOff>762000</xdr:colOff>
      <xdr:row>39</xdr:row>
      <xdr:rowOff>10884</xdr:rowOff>
    </xdr:to>
    <xdr:graphicFrame macro="">
      <xdr:nvGraphicFramePr>
        <xdr:cNvPr id="3" name="Diagramm 2">
          <a:extLst>
            <a:ext uri="{FF2B5EF4-FFF2-40B4-BE49-F238E27FC236}">
              <a16:creationId xmlns:a16="http://schemas.microsoft.com/office/drawing/2014/main" id="{CA9AD54D-9EEF-4760-A8EE-337CACDD1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326571</xdr:colOff>
      <xdr:row>1</xdr:row>
      <xdr:rowOff>43543</xdr:rowOff>
    </xdr:from>
    <xdr:to>
      <xdr:col>18</xdr:col>
      <xdr:colOff>291736</xdr:colOff>
      <xdr:row>8</xdr:row>
      <xdr:rowOff>17418</xdr:rowOff>
    </xdr:to>
    <xdr:sp macro="" textlink="">
      <xdr:nvSpPr>
        <xdr:cNvPr id="4" name="Textfeld 3">
          <a:extLst>
            <a:ext uri="{FF2B5EF4-FFF2-40B4-BE49-F238E27FC236}">
              <a16:creationId xmlns:a16="http://schemas.microsoft.com/office/drawing/2014/main" id="{9E767155-C617-437F-89DB-2C3C932A9EE1}"/>
            </a:ext>
          </a:extLst>
        </xdr:cNvPr>
        <xdr:cNvSpPr txBox="1"/>
      </xdr:nvSpPr>
      <xdr:spPr>
        <a:xfrm>
          <a:off x="11451771" y="217714"/>
          <a:ext cx="3143794" cy="1508761"/>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aseline="0">
              <a:solidFill>
                <a:schemeClr val="dk1"/>
              </a:solidFill>
              <a:effectLst/>
              <a:latin typeface="Arial" panose="020B0604020202020204" pitchFamily="34" charset="0"/>
              <a:ea typeface="+mn-ea"/>
              <a:cs typeface="Arial" panose="020B0604020202020204" pitchFamily="34" charset="0"/>
            </a:rPr>
            <a:t>Die Liste kann beliebig nach unten erweitert werden.</a:t>
          </a:r>
          <a:endParaRPr lang="de-DE" sz="1200">
            <a:effectLst/>
            <a:latin typeface="Arial" panose="020B0604020202020204" pitchFamily="34" charset="0"/>
            <a:cs typeface="Arial" panose="020B0604020202020204" pitchFamily="34" charset="0"/>
          </a:endParaRPr>
        </a:p>
        <a:p>
          <a:r>
            <a:rPr lang="de-DE" sz="1200" baseline="0">
              <a:solidFill>
                <a:schemeClr val="dk1"/>
              </a:solidFill>
              <a:effectLst/>
              <a:latin typeface="Arial" panose="020B0604020202020204" pitchFamily="34" charset="0"/>
              <a:ea typeface="+mn-ea"/>
              <a:cs typeface="Arial" panose="020B0604020202020204" pitchFamily="34" charset="0"/>
            </a:rPr>
            <a:t>Am Besten kopieren Sie die Vorgängerzeile und fügen diese mit "Zellen einfügen" in die Tabelle ein, sodass die letzte Zeile (Summe) nach unten geschoben wird.</a:t>
          </a:r>
          <a:endParaRPr lang="de-DE" sz="1200">
            <a:effectLst/>
            <a:latin typeface="Arial" panose="020B0604020202020204" pitchFamily="34" charset="0"/>
            <a:cs typeface="Arial" panose="020B0604020202020204" pitchFamily="34" charset="0"/>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0.83353</cdr:x>
      <cdr:y>0.01134</cdr:y>
    </cdr:from>
    <cdr:to>
      <cdr:x>0.98693</cdr:x>
      <cdr:y>0.0858</cdr:y>
    </cdr:to>
    <cdr:pic>
      <cdr:nvPicPr>
        <cdr:cNvPr id="2" name="Grafik 1">
          <a:extLst xmlns:a="http://schemas.openxmlformats.org/drawingml/2006/main">
            <a:ext uri="{FF2B5EF4-FFF2-40B4-BE49-F238E27FC236}">
              <a16:creationId xmlns:a16="http://schemas.microsoft.com/office/drawing/2014/main" id="{18DBA8D4-7B6D-4626-8F69-CD542102ED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66743" y="50800"/>
          <a:ext cx="1447800" cy="333397"/>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twoCellAnchor editAs="oneCell">
    <xdr:from>
      <xdr:col>7</xdr:col>
      <xdr:colOff>640080</xdr:colOff>
      <xdr:row>1</xdr:row>
      <xdr:rowOff>99060</xdr:rowOff>
    </xdr:from>
    <xdr:to>
      <xdr:col>12</xdr:col>
      <xdr:colOff>358140</xdr:colOff>
      <xdr:row>9</xdr:row>
      <xdr:rowOff>7620</xdr:rowOff>
    </xdr:to>
    <mc:AlternateContent xmlns:mc="http://schemas.openxmlformats.org/markup-compatibility/2006" xmlns:tsle="http://schemas.microsoft.com/office/drawing/2012/timeslicer">
      <mc:Choice Requires="tsle">
        <xdr:graphicFrame macro="">
          <xdr:nvGraphicFramePr>
            <xdr:cNvPr id="2" name="Tag">
              <a:extLst>
                <a:ext uri="{FF2B5EF4-FFF2-40B4-BE49-F238E27FC236}">
                  <a16:creationId xmlns:a16="http://schemas.microsoft.com/office/drawing/2014/main" id="{D898F6E6-4B23-4108-9C8A-51E53754CE64}"/>
                </a:ext>
              </a:extLst>
            </xdr:cNvPr>
            <xdr:cNvGraphicFramePr/>
          </xdr:nvGraphicFramePr>
          <xdr:xfrm>
            <a:off x="0" y="0"/>
            <a:ext cx="0" cy="0"/>
          </xdr:xfrm>
          <a:graphic>
            <a:graphicData uri="http://schemas.microsoft.com/office/drawing/2012/timeslicer">
              <tsle:timeslicer name="Tag"/>
            </a:graphicData>
          </a:graphic>
        </xdr:graphicFrame>
      </mc:Choice>
      <mc:Fallback xmlns="">
        <xdr:sp macro="" textlink="">
          <xdr:nvSpPr>
            <xdr:cNvPr id="0" name=""/>
            <xdr:cNvSpPr>
              <a:spLocks noTextEdit="1"/>
            </xdr:cNvSpPr>
          </xdr:nvSpPr>
          <xdr:spPr>
            <a:xfrm>
              <a:off x="7711440" y="281940"/>
              <a:ext cx="3680460" cy="1371600"/>
            </a:xfrm>
            <a:prstGeom prst="rect">
              <a:avLst/>
            </a:prstGeom>
            <a:solidFill>
              <a:prstClr val="white"/>
            </a:solidFill>
            <a:ln w="1">
              <a:solidFill>
                <a:prstClr val="green"/>
              </a:solidFill>
            </a:ln>
          </xdr:spPr>
          <xdr:txBody>
            <a:bodyPr vertOverflow="clip" horzOverflow="clip"/>
            <a:lstStyle/>
            <a:p>
              <a:r>
                <a:rPr lang="de-DE" sz="1100"/>
                <a:t>Zeitachse: Funktioniert in Excel 2013 oder höher. Nicht verschieben oder die Größe ändern.</a:t>
              </a:r>
            </a:p>
          </xdr:txBody>
        </xdr:sp>
      </mc:Fallback>
    </mc:AlternateContent>
    <xdr:clientData/>
  </xdr:twoCellAnchor>
  <xdr:twoCellAnchor>
    <xdr:from>
      <xdr:col>2</xdr:col>
      <xdr:colOff>106680</xdr:colOff>
      <xdr:row>10</xdr:row>
      <xdr:rowOff>13970</xdr:rowOff>
    </xdr:from>
    <xdr:to>
      <xdr:col>7</xdr:col>
      <xdr:colOff>335280</xdr:colOff>
      <xdr:row>25</xdr:row>
      <xdr:rowOff>13970</xdr:rowOff>
    </xdr:to>
    <xdr:graphicFrame macro="">
      <xdr:nvGraphicFramePr>
        <xdr:cNvPr id="3" name="Diagramm 2">
          <a:extLst>
            <a:ext uri="{FF2B5EF4-FFF2-40B4-BE49-F238E27FC236}">
              <a16:creationId xmlns:a16="http://schemas.microsoft.com/office/drawing/2014/main" id="{D14764A5-D4F8-4D73-A8BD-E532925C29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632460</xdr:colOff>
      <xdr:row>9</xdr:row>
      <xdr:rowOff>45720</xdr:rowOff>
    </xdr:from>
    <xdr:to>
      <xdr:col>10</xdr:col>
      <xdr:colOff>83820</xdr:colOff>
      <xdr:row>22</xdr:row>
      <xdr:rowOff>135255</xdr:rowOff>
    </xdr:to>
    <mc:AlternateContent xmlns:mc="http://schemas.openxmlformats.org/markup-compatibility/2006" xmlns:a14="http://schemas.microsoft.com/office/drawing/2010/main">
      <mc:Choice Requires="a14">
        <xdr:graphicFrame macro="">
          <xdr:nvGraphicFramePr>
            <xdr:cNvPr id="4" name="Projekt">
              <a:extLst>
                <a:ext uri="{FF2B5EF4-FFF2-40B4-BE49-F238E27FC236}">
                  <a16:creationId xmlns:a16="http://schemas.microsoft.com/office/drawing/2014/main" id="{60C3EF97-B4E4-4A87-B833-AC1EF89B88D2}"/>
                </a:ext>
              </a:extLst>
            </xdr:cNvPr>
            <xdr:cNvGraphicFramePr/>
          </xdr:nvGraphicFramePr>
          <xdr:xfrm>
            <a:off x="0" y="0"/>
            <a:ext cx="0" cy="0"/>
          </xdr:xfrm>
          <a:graphic>
            <a:graphicData uri="http://schemas.microsoft.com/office/drawing/2010/slicer">
              <sle:slicer xmlns:sle="http://schemas.microsoft.com/office/drawing/2010/slicer" name="Projekt"/>
            </a:graphicData>
          </a:graphic>
        </xdr:graphicFrame>
      </mc:Choice>
      <mc:Fallback xmlns="">
        <xdr:sp macro="" textlink="">
          <xdr:nvSpPr>
            <xdr:cNvPr id="0" name=""/>
            <xdr:cNvSpPr>
              <a:spLocks noTextEdit="1"/>
            </xdr:cNvSpPr>
          </xdr:nvSpPr>
          <xdr:spPr>
            <a:xfrm>
              <a:off x="7703820" y="1691640"/>
              <a:ext cx="1828800" cy="246697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10</xdr:col>
      <xdr:colOff>114300</xdr:colOff>
      <xdr:row>9</xdr:row>
      <xdr:rowOff>45720</xdr:rowOff>
    </xdr:from>
    <xdr:to>
      <xdr:col>12</xdr:col>
      <xdr:colOff>358140</xdr:colOff>
      <xdr:row>22</xdr:row>
      <xdr:rowOff>135255</xdr:rowOff>
    </xdr:to>
    <mc:AlternateContent xmlns:mc="http://schemas.openxmlformats.org/markup-compatibility/2006" xmlns:a14="http://schemas.microsoft.com/office/drawing/2010/main">
      <mc:Choice Requires="a14">
        <xdr:graphicFrame macro="">
          <xdr:nvGraphicFramePr>
            <xdr:cNvPr id="5" name="Tätigkeit">
              <a:extLst>
                <a:ext uri="{FF2B5EF4-FFF2-40B4-BE49-F238E27FC236}">
                  <a16:creationId xmlns:a16="http://schemas.microsoft.com/office/drawing/2014/main" id="{8238FF71-663C-40CD-9F77-BB5BF8C01927}"/>
                </a:ext>
              </a:extLst>
            </xdr:cNvPr>
            <xdr:cNvGraphicFramePr/>
          </xdr:nvGraphicFramePr>
          <xdr:xfrm>
            <a:off x="0" y="0"/>
            <a:ext cx="0" cy="0"/>
          </xdr:xfrm>
          <a:graphic>
            <a:graphicData uri="http://schemas.microsoft.com/office/drawing/2010/slicer">
              <sle:slicer xmlns:sle="http://schemas.microsoft.com/office/drawing/2010/slicer" name="Tätigkeit"/>
            </a:graphicData>
          </a:graphic>
        </xdr:graphicFrame>
      </mc:Choice>
      <mc:Fallback xmlns="">
        <xdr:sp macro="" textlink="">
          <xdr:nvSpPr>
            <xdr:cNvPr id="0" name=""/>
            <xdr:cNvSpPr>
              <a:spLocks noTextEdit="1"/>
            </xdr:cNvSpPr>
          </xdr:nvSpPr>
          <xdr:spPr>
            <a:xfrm>
              <a:off x="9563100" y="1691640"/>
              <a:ext cx="1828800" cy="246697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464820</xdr:colOff>
      <xdr:row>7</xdr:row>
      <xdr:rowOff>129540</xdr:rowOff>
    </xdr:from>
    <xdr:to>
      <xdr:col>5</xdr:col>
      <xdr:colOff>327660</xdr:colOff>
      <xdr:row>9</xdr:row>
      <xdr:rowOff>97177</xdr:rowOff>
    </xdr:to>
    <xdr:pic>
      <xdr:nvPicPr>
        <xdr:cNvPr id="6" name="Grafik 5">
          <a:extLst>
            <a:ext uri="{FF2B5EF4-FFF2-40B4-BE49-F238E27FC236}">
              <a16:creationId xmlns:a16="http://schemas.microsoft.com/office/drawing/2014/main" id="{5E2AD985-0955-47CB-8C74-43CAB740A3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66260" y="1409700"/>
          <a:ext cx="1447800" cy="3333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381000</xdr:colOff>
      <xdr:row>4</xdr:row>
      <xdr:rowOff>38100</xdr:rowOff>
    </xdr:from>
    <xdr:to>
      <xdr:col>9</xdr:col>
      <xdr:colOff>30480</xdr:colOff>
      <xdr:row>9</xdr:row>
      <xdr:rowOff>53340</xdr:rowOff>
    </xdr:to>
    <xdr:sp macro="" textlink="">
      <xdr:nvSpPr>
        <xdr:cNvPr id="2" name="Textfeld 1">
          <a:extLst>
            <a:ext uri="{FF2B5EF4-FFF2-40B4-BE49-F238E27FC236}">
              <a16:creationId xmlns:a16="http://schemas.microsoft.com/office/drawing/2014/main" id="{F1C1EE31-A443-49E5-B92C-CC92674CE04A}"/>
            </a:ext>
          </a:extLst>
        </xdr:cNvPr>
        <xdr:cNvSpPr txBox="1"/>
      </xdr:nvSpPr>
      <xdr:spPr>
        <a:xfrm>
          <a:off x="4838700" y="762000"/>
          <a:ext cx="4404360" cy="891540"/>
        </a:xfrm>
        <a:prstGeom prst="rect">
          <a:avLst/>
        </a:prstGeom>
        <a:solidFill>
          <a:schemeClr val="lt1"/>
        </a:solidFill>
        <a:ln w="28575" cmpd="sng">
          <a:solidFill>
            <a:srgbClr val="244D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a:latin typeface="Arial" panose="020B0604020202020204" pitchFamily="34" charset="0"/>
              <a:cs typeface="Arial" panose="020B0604020202020204" pitchFamily="34" charset="0"/>
            </a:rPr>
            <a:t>In dieser Liste werden alle relevanten Feiertage im Kalenderjahr</a:t>
          </a:r>
          <a:r>
            <a:rPr lang="de-DE" sz="1200" baseline="0">
              <a:latin typeface="Arial" panose="020B0604020202020204" pitchFamily="34" charset="0"/>
              <a:cs typeface="Arial" panose="020B0604020202020204" pitchFamily="34" charset="0"/>
            </a:rPr>
            <a:t> eingetragen. An Feiertagen sind keine Soll-Stunden fällig. Geleistete Arbeitszeit an Feiertagen wird als Überstunden gewertet.</a:t>
          </a:r>
        </a:p>
      </xdr:txBody>
    </xdr:sp>
    <xdr:clientData/>
  </xdr:twoCellAnchor>
  <xdr:twoCellAnchor editAs="oneCell">
    <xdr:from>
      <xdr:col>3</xdr:col>
      <xdr:colOff>365760</xdr:colOff>
      <xdr:row>1</xdr:row>
      <xdr:rowOff>0</xdr:rowOff>
    </xdr:from>
    <xdr:to>
      <xdr:col>5</xdr:col>
      <xdr:colOff>228600</xdr:colOff>
      <xdr:row>2</xdr:row>
      <xdr:rowOff>135277</xdr:rowOff>
    </xdr:to>
    <xdr:pic>
      <xdr:nvPicPr>
        <xdr:cNvPr id="3" name="Grafik 2">
          <a:extLst>
            <a:ext uri="{FF2B5EF4-FFF2-40B4-BE49-F238E27FC236}">
              <a16:creationId xmlns:a16="http://schemas.microsoft.com/office/drawing/2014/main" id="{2BE5CEA8-22DF-423A-A63C-8BCE6F09EA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3460" y="175260"/>
          <a:ext cx="1447800" cy="33339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 Lechner" refreshedDate="44452.920200694447" missingItemsLimit="0" createdVersion="7" refreshedVersion="7" minRefreshableVersion="3" recordCount="94" xr:uid="{B8F430E7-1B74-4A64-8B8E-9B5DD406BC56}">
  <cacheSource type="worksheet">
    <worksheetSource ref="B7:P103" sheet="Zeiterfassung"/>
  </cacheSource>
  <cacheFields count="13">
    <cacheField name="Tag" numFmtId="14">
      <sharedItems containsNonDate="0" containsDate="1" containsString="0" containsBlank="1" minDate="2021-02-01T00:00:00" maxDate="2021-09-14T00:00:00" count="13">
        <d v="2021-02-01T00:00:00"/>
        <d v="2021-02-02T00:00:00"/>
        <d v="2021-02-03T00:00:00"/>
        <d v="2021-02-04T00:00:00"/>
        <d v="2021-02-05T00:00:00"/>
        <d v="2021-02-08T00:00:00"/>
        <d v="2021-07-22T00:00:00"/>
        <d v="2021-07-23T00:00:00"/>
        <d v="2021-07-26T00:00:00"/>
        <d v="2021-07-27T00:00:00"/>
        <d v="2021-07-28T00:00:00"/>
        <d v="2021-09-13T00:00:00"/>
        <m/>
      </sharedItems>
    </cacheField>
    <cacheField name="Std. Start" numFmtId="167">
      <sharedItems containsString="0" containsBlank="1" containsNumber="1" containsInteger="1" minValue="8" maxValue="20"/>
    </cacheField>
    <cacheField name="Min. Start" numFmtId="168">
      <sharedItems containsString="0" containsBlank="1" containsNumber="1" containsInteger="1" minValue="0" maxValue="45"/>
    </cacheField>
    <cacheField name="Std. Ende" numFmtId="167">
      <sharedItems containsString="0" containsBlank="1" containsNumber="1" containsInteger="1" minValue="9" maxValue="23"/>
    </cacheField>
    <cacheField name="Min. Ende" numFmtId="168">
      <sharedItems containsString="0" containsBlank="1" containsNumber="1" containsInteger="1" minValue="0" maxValue="45"/>
    </cacheField>
    <cacheField name="Stunden" numFmtId="2">
      <sharedItems containsSemiMixedTypes="0" containsString="0" containsNumber="1" minValue="0" maxValue="6"/>
    </cacheField>
    <cacheField name="Projekt" numFmtId="165">
      <sharedItems containsBlank="1" count="6">
        <s v="Projekt A"/>
        <s v="Netzwerk"/>
        <s v="Projekt B"/>
        <s v="Internes"/>
        <s v="Vertrieb"/>
        <m/>
      </sharedItems>
    </cacheField>
    <cacheField name="Tätigkeit" numFmtId="0">
      <sharedItems containsBlank="1" count="6">
        <s v="Ausarbeitung"/>
        <s v="externe Abstimmung"/>
        <s v="Buchhaltung"/>
        <s v="Kundentermin"/>
        <s v="Angebotserstellung"/>
        <m/>
      </sharedItems>
    </cacheField>
    <cacheField name="Beschreibung" numFmtId="0">
      <sharedItems containsBlank="1"/>
    </cacheField>
    <cacheField name="Fakturierbar" numFmtId="0">
      <sharedItems/>
    </cacheField>
    <cacheField name="Stundensatz" numFmtId="166">
      <sharedItems containsMixedTypes="1" containsNumber="1" containsInteger="1" minValue="90" maxValue="110"/>
    </cacheField>
    <cacheField name="Betrag" numFmtId="166">
      <sharedItems containsMixedTypes="1" containsNumber="1" minValue="27.5" maxValue="660"/>
    </cacheField>
    <cacheField name="Monat" numFmtId="0">
      <sharedItems containsSemiMixedTypes="0" containsString="0" containsNumber="1" containsInteger="1" minValue="1" maxValue="9"/>
    </cacheField>
  </cacheFields>
  <extLst>
    <ext xmlns:x14="http://schemas.microsoft.com/office/spreadsheetml/2009/9/main" uri="{725AE2AE-9491-48be-B2B4-4EB974FC3084}">
      <x14:pivotCacheDefinition pivotCacheId="127989114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
  <r>
    <x v="0"/>
    <n v="8"/>
    <n v="15"/>
    <n v="9"/>
    <n v="30"/>
    <n v="1.25"/>
    <x v="0"/>
    <x v="0"/>
    <s v="Bearbeitung Anforderung XY"/>
    <s v="ja"/>
    <n v="90"/>
    <n v="112.5"/>
    <n v="2"/>
  </r>
  <r>
    <x v="1"/>
    <n v="8"/>
    <n v="0"/>
    <n v="12"/>
    <n v="0"/>
    <n v="4"/>
    <x v="0"/>
    <x v="0"/>
    <s v="Bearbeitung Anforderung XY"/>
    <s v="ja"/>
    <n v="90"/>
    <n v="360"/>
    <n v="2"/>
  </r>
  <r>
    <x v="2"/>
    <n v="8"/>
    <n v="0"/>
    <n v="12"/>
    <n v="0"/>
    <n v="4"/>
    <x v="0"/>
    <x v="0"/>
    <s v="Bearbeitung Anforderung XY"/>
    <s v="ja"/>
    <n v="90"/>
    <n v="360"/>
    <n v="2"/>
  </r>
  <r>
    <x v="3"/>
    <n v="8"/>
    <n v="0"/>
    <n v="12"/>
    <n v="0"/>
    <n v="4"/>
    <x v="0"/>
    <x v="0"/>
    <s v="Bearbeitung Anforderung XY"/>
    <s v="ja"/>
    <n v="90"/>
    <n v="360"/>
    <n v="2"/>
  </r>
  <r>
    <x v="4"/>
    <n v="8"/>
    <n v="0"/>
    <n v="12"/>
    <n v="0"/>
    <n v="4"/>
    <x v="0"/>
    <x v="0"/>
    <s v="Bearbeitung Anforderung XY"/>
    <s v="ja"/>
    <n v="90"/>
    <n v="360"/>
    <n v="2"/>
  </r>
  <r>
    <x v="5"/>
    <n v="8"/>
    <n v="0"/>
    <n v="12"/>
    <n v="0"/>
    <n v="4"/>
    <x v="0"/>
    <x v="0"/>
    <s v="Bearbeitung Anforderung XY"/>
    <s v="ja"/>
    <n v="90"/>
    <n v="360"/>
    <n v="2"/>
  </r>
  <r>
    <x v="6"/>
    <n v="8"/>
    <n v="15"/>
    <n v="9"/>
    <n v="30"/>
    <n v="1.25"/>
    <x v="0"/>
    <x v="0"/>
    <s v="Bearbeitung Anforderung XY"/>
    <s v="ja"/>
    <n v="90"/>
    <n v="112.5"/>
    <n v="7"/>
  </r>
  <r>
    <x v="6"/>
    <n v="9"/>
    <n v="30"/>
    <n v="10"/>
    <n v="45"/>
    <n v="1.25"/>
    <x v="1"/>
    <x v="1"/>
    <s v="mit Max"/>
    <s v="nein"/>
    <s v=""/>
    <s v=""/>
    <n v="7"/>
  </r>
  <r>
    <x v="6"/>
    <n v="10"/>
    <n v="45"/>
    <n v="11"/>
    <n v="0"/>
    <n v="0.25"/>
    <x v="2"/>
    <x v="0"/>
    <s v="Fragen zu Konzept beantworten"/>
    <s v="ja"/>
    <n v="110"/>
    <n v="27.5"/>
    <n v="7"/>
  </r>
  <r>
    <x v="7"/>
    <n v="8"/>
    <n v="0"/>
    <n v="11"/>
    <n v="0"/>
    <n v="3"/>
    <x v="3"/>
    <x v="2"/>
    <m/>
    <s v="nein"/>
    <s v=""/>
    <s v=""/>
    <n v="7"/>
  </r>
  <r>
    <x v="7"/>
    <n v="11"/>
    <n v="0"/>
    <n v="12"/>
    <n v="0"/>
    <n v="1"/>
    <x v="4"/>
    <x v="1"/>
    <s v="Telefonat abc GmbH"/>
    <s v="nein"/>
    <s v=""/>
    <s v=""/>
    <n v="7"/>
  </r>
  <r>
    <x v="7"/>
    <n v="13"/>
    <n v="0"/>
    <n v="15"/>
    <n v="0"/>
    <n v="2"/>
    <x v="0"/>
    <x v="0"/>
    <s v="Erarbeiten Konzept"/>
    <s v="ja"/>
    <n v="90"/>
    <n v="180"/>
    <n v="7"/>
  </r>
  <r>
    <x v="7"/>
    <n v="15"/>
    <n v="0"/>
    <n v="15"/>
    <n v="45"/>
    <n v="0.75"/>
    <x v="0"/>
    <x v="3"/>
    <s v="Konzeptbesprechung"/>
    <s v="ja"/>
    <n v="90"/>
    <n v="67.5"/>
    <n v="7"/>
  </r>
  <r>
    <x v="7"/>
    <n v="15"/>
    <n v="45"/>
    <n v="17"/>
    <n v="30"/>
    <n v="1.75"/>
    <x v="0"/>
    <x v="0"/>
    <s v="Doku Konzeptbesprechung"/>
    <s v="ja"/>
    <n v="90"/>
    <n v="157.5"/>
    <n v="7"/>
  </r>
  <r>
    <x v="8"/>
    <n v="8"/>
    <n v="0"/>
    <n v="12"/>
    <n v="0"/>
    <n v="4"/>
    <x v="0"/>
    <x v="0"/>
    <s v="Erarbeiten Konzept"/>
    <s v="ja"/>
    <n v="90"/>
    <n v="360"/>
    <n v="7"/>
  </r>
  <r>
    <x v="8"/>
    <n v="13"/>
    <n v="0"/>
    <n v="17"/>
    <n v="0"/>
    <n v="4"/>
    <x v="0"/>
    <x v="0"/>
    <s v="Erarbeiten Konzept"/>
    <s v="ja"/>
    <n v="90"/>
    <n v="360"/>
    <n v="7"/>
  </r>
  <r>
    <x v="9"/>
    <n v="8"/>
    <n v="0"/>
    <n v="12"/>
    <n v="0"/>
    <n v="4"/>
    <x v="0"/>
    <x v="0"/>
    <s v="Erarbeiten Konzept"/>
    <s v="ja"/>
    <n v="90"/>
    <n v="360"/>
    <n v="7"/>
  </r>
  <r>
    <x v="9"/>
    <n v="13"/>
    <n v="0"/>
    <n v="17"/>
    <n v="0"/>
    <n v="4"/>
    <x v="0"/>
    <x v="0"/>
    <s v="Erarbeiten Konzept"/>
    <s v="ja"/>
    <n v="90"/>
    <n v="360"/>
    <n v="7"/>
  </r>
  <r>
    <x v="10"/>
    <n v="8"/>
    <n v="0"/>
    <n v="12"/>
    <n v="0"/>
    <n v="4"/>
    <x v="2"/>
    <x v="0"/>
    <s v="Erarbeiten Konzept"/>
    <s v="ja"/>
    <n v="110"/>
    <n v="440"/>
    <n v="7"/>
  </r>
  <r>
    <x v="10"/>
    <n v="13"/>
    <n v="0"/>
    <n v="19"/>
    <n v="0"/>
    <n v="6"/>
    <x v="2"/>
    <x v="0"/>
    <s v="Erarbeiten Konzept"/>
    <s v="ja"/>
    <n v="110"/>
    <n v="660"/>
    <n v="7"/>
  </r>
  <r>
    <x v="11"/>
    <n v="20"/>
    <n v="0"/>
    <n v="23"/>
    <n v="30"/>
    <n v="3.5"/>
    <x v="0"/>
    <x v="4"/>
    <m/>
    <s v="ja"/>
    <n v="90"/>
    <n v="315"/>
    <n v="9"/>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r>
    <x v="12"/>
    <m/>
    <m/>
    <m/>
    <m/>
    <n v="0"/>
    <x v="5"/>
    <x v="5"/>
    <m/>
    <s v=""/>
    <s v=""/>
    <s v=""/>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2C02AE-DC8F-4649-A414-9297A0D06957}" name="PivotTable2" cacheId="0" applyNumberFormats="0" applyBorderFormats="0" applyFontFormats="0" applyPatternFormats="0" applyAlignmentFormats="0" applyWidthHeightFormats="1" dataCaption="Werte" updatedVersion="7" minRefreshableVersion="5" useAutoFormatting="1" itemPrintTitles="1" createdVersion="7" indent="0" outline="1" outlineData="1" multipleFieldFilters="0" chartFormat="1">
  <location ref="A4:B17" firstHeaderRow="1" firstDataRow="1" firstDataCol="1"/>
  <pivotFields count="13">
    <pivotField axis="axisRow" showAll="0" sortType="ascending">
      <items count="14">
        <item x="0"/>
        <item x="1"/>
        <item x="2"/>
        <item x="3"/>
        <item x="4"/>
        <item x="5"/>
        <item x="6"/>
        <item x="7"/>
        <item x="8"/>
        <item x="9"/>
        <item x="10"/>
        <item x="11"/>
        <item x="12"/>
        <item t="default"/>
      </items>
    </pivotField>
    <pivotField showAll="0"/>
    <pivotField showAll="0"/>
    <pivotField showAll="0"/>
    <pivotField showAll="0"/>
    <pivotField dataField="1" numFmtId="2" showAll="0"/>
    <pivotField showAll="0">
      <items count="7">
        <item x="3"/>
        <item x="1"/>
        <item x="0"/>
        <item x="2"/>
        <item x="4"/>
        <item x="5"/>
        <item t="default"/>
      </items>
    </pivotField>
    <pivotField showAll="0">
      <items count="7">
        <item x="4"/>
        <item x="0"/>
        <item x="2"/>
        <item x="1"/>
        <item x="3"/>
        <item x="5"/>
        <item t="default"/>
      </items>
    </pivotField>
    <pivotField showAll="0"/>
    <pivotField showAll="0"/>
    <pivotField showAll="0"/>
    <pivotField showAll="0"/>
    <pivotField showAll="0"/>
  </pivotFields>
  <rowFields count="1">
    <field x="0"/>
  </rowFields>
  <rowItems count="13">
    <i>
      <x/>
    </i>
    <i>
      <x v="1"/>
    </i>
    <i>
      <x v="2"/>
    </i>
    <i>
      <x v="3"/>
    </i>
    <i>
      <x v="4"/>
    </i>
    <i>
      <x v="5"/>
    </i>
    <i>
      <x v="6"/>
    </i>
    <i>
      <x v="7"/>
    </i>
    <i>
      <x v="8"/>
    </i>
    <i>
      <x v="9"/>
    </i>
    <i>
      <x v="10"/>
    </i>
    <i>
      <x v="11"/>
    </i>
    <i t="grand">
      <x/>
    </i>
  </rowItems>
  <colItems count="1">
    <i/>
  </colItems>
  <dataFields count="1">
    <dataField name="Summe von Stunden" fld="5"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0" type="dateBetween" evalOrder="-1" id="21" name="Tag">
      <autoFilter ref="A1">
        <filterColumn colId="0">
          <customFilters and="1">
            <customFilter operator="greaterThanOrEqual" val="44197"/>
            <customFilter operator="lessThanOrEqual" val="44561"/>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ojekt" xr10:uid="{8311B169-53AA-454A-83FF-F86F9B306275}" sourceName="Projekt">
  <pivotTables>
    <pivotTable tabId="9" name="PivotTable2"/>
  </pivotTables>
  <data>
    <tabular pivotCacheId="1279891148">
      <items count="6">
        <i x="3" s="1"/>
        <i x="1" s="1"/>
        <i x="0" s="1"/>
        <i x="2" s="1"/>
        <i x="4" s="1"/>
        <i x="5"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Tätigkeit" xr10:uid="{F431646D-23F9-4DC3-A2D9-56ED42693B71}" sourceName="Tätigkeit">
  <pivotTables>
    <pivotTable tabId="9" name="PivotTable2"/>
  </pivotTables>
  <data>
    <tabular pivotCacheId="1279891148">
      <items count="6">
        <i x="4" s="1"/>
        <i x="0" s="1"/>
        <i x="2" s="1"/>
        <i x="1" s="1"/>
        <i x="3" s="1"/>
        <i x="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ojekt1" xr10:uid="{D7CEC37A-72D8-4870-A628-0697944F9DC7}" sourceName="Projekt">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Monat" xr10:uid="{3BB3163E-03A3-43DA-B26C-7C51CE0A585C}" sourceName="Monat">
  <extLst>
    <x:ext xmlns:x15="http://schemas.microsoft.com/office/spreadsheetml/2010/11/main" uri="{2F2917AC-EB37-4324-AD4E-5DD8C200BD13}">
      <x15:tableSlicerCache tableId="1" column="1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kt 1" xr10:uid="{49EE516A-E694-4A42-89C4-9C5396FA33B0}" cache="Datenschnitt_Projekt1" caption="Projekt" startItem="3" rowHeight="234950"/>
  <slicer name="Monat" xr10:uid="{93EF8D36-0115-4ED9-9644-D327C82D37D2}" cache="Datenschnitt_Monat" caption="Monat"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kt" xr10:uid="{E13D207D-413E-44E1-A000-C93AB3EB38DF}" cache="Datenschnitt_Projekt" caption="Projekt" rowHeight="234950"/>
  <slicer name="Tätigkeit" xr10:uid="{5D323309-C686-461C-A3C1-9B875D97A538}" cache="Datenschnitt_Tätigkeit" caption="Tätigkeit"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A5550E-4063-41F8-8757-E00B938590C3}" name="Tabelle1" displayName="Tabelle1" ref="A7:T103" totalsRowShown="0" headerRowDxfId="22" headerRowCellStyle="Standard 2">
  <autoFilter ref="A7:T103" xr:uid="{09A5550E-4063-41F8-8757-E00B938590C3}"/>
  <tableColumns count="20">
    <tableColumn id="14" xr3:uid="{AD6B2C64-2FFC-4F61-B7DF-0346867ABB57}" name="w" dataDxfId="21">
      <calculatedColumnFormula>IF(Tabelle1[[#This Row],[Tag]]=0,"",
IF(WEEKDAY(B8)=1,"So",
IF(WEEKDAY(B8)=2,"Mo",
IF(WEEKDAY(B8)=3,"Di",
IF(WEEKDAY(B8)=4,"Mi",
IF(WEEKDAY(B8)=5,"Do",
IF(WEEKDAY(B8)=6,"Fr",
IF(WEEKDAY(B8)=7,"Sa"))))))))</calculatedColumnFormula>
    </tableColumn>
    <tableColumn id="1" xr3:uid="{EDC7AEBC-16A5-4458-A942-CDD8E289EE47}" name="Tag" dataDxfId="20"/>
    <tableColumn id="2" xr3:uid="{4D58EA77-5D38-4EF8-8781-EDC85B1DA53D}" name="Std. Start" dataDxfId="19"/>
    <tableColumn id="3" xr3:uid="{18316345-1F47-427F-9531-B9B13DAA5C63}" name="Min. Start" dataDxfId="18"/>
    <tableColumn id="4" xr3:uid="{B5860453-57A1-45A2-ABDB-E021ABE444FD}" name="Std. Ende" dataDxfId="17"/>
    <tableColumn id="5" xr3:uid="{0997F143-FDBF-454A-BAAD-C10E72725CAF}" name="Min. Ende" dataDxfId="16"/>
    <tableColumn id="6" xr3:uid="{6440B89C-CD6A-4FDC-8986-B0B0A3D91E1F}" name="Stunden" dataDxfId="15">
      <calculatedColumnFormula>ROUND((E8*60+F8-C8*60-D8)/60,2)</calculatedColumnFormula>
    </tableColumn>
    <tableColumn id="21" xr3:uid="{77AEC116-8EF6-4A60-9BD1-06D1883716BA}" name="Σ Arbeit p.Tag" dataDxfId="14">
      <calculatedColumnFormula>SUMIF(Tabelle1[Tag],Tabelle1[[#This Row],[Tag]],Tabelle1[Stunden])</calculatedColumnFormula>
    </tableColumn>
    <tableColumn id="19" xr3:uid="{F02AFE32-66C2-4358-9E8D-06920AA9C2F5}" name="Σ Pause p.Tag" dataDxfId="13">
      <calculatedColumnFormula array="1">24*(MAX(IF(EXACT(Tabelle1[Tag],Tabelle1[[#This Row],[Tag]]),Tabelle1[Ende]))
-MIN(IF(EXACT(Tabelle1[Tag],Tabelle1[[#This Row],[Tag]]),Tabelle1[Start])))
-SUMIF(Tabelle1[Tag],Tabelle1[[#This Row],[Tag]],Tabelle1[Stunden])</calculatedColumnFormula>
    </tableColumn>
    <tableColumn id="7" xr3:uid="{74C1D4A6-EDEC-400B-92F9-D1F06E3E3DEF}" name="Projekt" dataDxfId="12"/>
    <tableColumn id="8" xr3:uid="{57CF8833-C85F-4A3E-AD27-5F54800AD187}" name="Tätigkeit" dataDxfId="11"/>
    <tableColumn id="9" xr3:uid="{46A081F9-1103-4D7D-9804-B65A816AB636}" name="Beschreibung" dataDxfId="10"/>
    <tableColumn id="10" xr3:uid="{460EA8E4-584A-4274-BF88-70D0A4D6C9A6}" name="Fakturierbar" dataDxfId="9">
      <calculatedColumnFormula>IF(J8&lt;&gt;0,VLOOKUP(J8,Basisdaten!$B$19:$E$26,3,),"")</calculatedColumnFormula>
    </tableColumn>
    <tableColumn id="11" xr3:uid="{95A1CE92-1927-4F63-A67D-2ACF6F4720FC}" name="Stundensatz" dataDxfId="8">
      <calculatedColumnFormula>IF(AND(J8&lt;&gt;0,M8="ja"),VLOOKUP(J8,Basisdaten!$B$19:$E$26,4,),"")</calculatedColumnFormula>
    </tableColumn>
    <tableColumn id="12" xr3:uid="{ED6AF5C2-4B35-48BE-BAA6-262A65AB4F10}" name="Betrag" dataDxfId="7">
      <calculatedColumnFormula>IF(M8="ja",N8*G8,"")</calculatedColumnFormula>
    </tableColumn>
    <tableColumn id="13" xr3:uid="{5A712133-0B89-4D10-9758-A3DC0CA360CB}" name="Monat" dataDxfId="6">
      <calculatedColumnFormula>MONTH(B8)</calculatedColumnFormula>
    </tableColumn>
    <tableColumn id="15" xr3:uid="{EEF51C0B-A77A-4064-8019-3F8CC75E0BF1}" name="Start" dataDxfId="5">
      <calculatedColumnFormula>TIME(Tabelle1[[#This Row],[Std. Start]],Tabelle1[[#This Row],[Min. Start]],)</calculatedColumnFormula>
    </tableColumn>
    <tableColumn id="16" xr3:uid="{D98A5F3B-35C0-41A0-9CE9-FA00A2C68F8A}" name="Ende" dataDxfId="4">
      <calculatedColumnFormula>TIME(Tabelle1[[#This Row],[Std. Ende]],Tabelle1[[#This Row],[Min. Ende]],)</calculatedColumnFormula>
    </tableColumn>
    <tableColumn id="18" xr3:uid="{3F16FF91-D08D-4339-B48E-31BF4115F480}" name="Pause i.O.?" dataDxfId="3">
      <calculatedColumnFormula>OR(AND(Tabelle1[[#This Row],[Σ Arbeit p.Tag]]&gt;9,Tabelle1[[#This Row],[Σ Pause p.Tag]]&lt;Basisdaten!$D$14),AND(Tabelle1[[#This Row],[Σ Arbeit p.Tag]]&lt;=9,Tabelle1[[#This Row],[Σ Arbeit p.Tag]]&gt;6,Tabelle1[[#This Row],[Σ Pause p.Tag]]&lt;Basisdaten!$D$13))</calculatedColumnFormula>
    </tableColumn>
    <tableColumn id="20" xr3:uid="{477BC450-2AA2-469F-85C4-3A31EA4F7790}" name="Σ Arbeit p.Tag i.O. ?" dataDxfId="2">
      <calculatedColumnFormula>(Tabelle1[[#This Row],[Σ Arbeit p.Tag]]&gt;Basisdaten!$D$12)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Zeitachse_Tag" xr10:uid="{82D85636-D9F5-4663-935D-072E2D3D8BF2}" sourceName="Tag">
  <pivotTables>
    <pivotTable tabId="9" name="PivotTable2"/>
  </pivotTables>
  <state minimalRefreshVersion="6" lastRefreshVersion="6" pivotCacheId="1279891148" filterType="dateBetween">
    <selection startDate="2021-01-01T00:00:00" endDate="2021-12-31T00:00:00"/>
    <bounds startDate="2021-01-01T00:00:00" endDate="2022-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Tag" xr10:uid="{9BC34F02-67E0-4FC2-9F9F-5FAEE9AF7449}" cache="NativeZeitachse_Tag" caption="Tag" level="2" selectionLevel="0" scrollPosition="2021-01-01T00:00:00"/>
</timeline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B7:G26"/>
  <sheetViews>
    <sheetView showGridLines="0" tabSelected="1" zoomScaleNormal="100" workbookViewId="0">
      <selection activeCell="E37" sqref="E37"/>
    </sheetView>
  </sheetViews>
  <sheetFormatPr baseColWidth="10" defaultColWidth="8.83203125" defaultRowHeight="14" x14ac:dyDescent="0.15"/>
  <cols>
    <col min="1" max="1" width="8.83203125" style="1"/>
    <col min="2" max="2" width="14.1640625" style="1" bestFit="1" customWidth="1"/>
    <col min="3" max="3" width="14.1640625" style="1" customWidth="1"/>
    <col min="4" max="4" width="18.33203125" style="1" bestFit="1" customWidth="1"/>
    <col min="5" max="5" width="18.5" style="1" bestFit="1" customWidth="1"/>
    <col min="6" max="6" width="8.83203125" style="1"/>
    <col min="7" max="7" width="19" style="1" bestFit="1" customWidth="1"/>
    <col min="8" max="16384" width="8.83203125" style="1"/>
  </cols>
  <sheetData>
    <row r="7" spans="2:4" ht="16" x14ac:dyDescent="0.2">
      <c r="B7" s="99" t="s">
        <v>56</v>
      </c>
      <c r="C7" s="100"/>
      <c r="D7" s="23" t="s">
        <v>57</v>
      </c>
    </row>
    <row r="8" spans="2:4" ht="16" x14ac:dyDescent="0.2">
      <c r="B8" s="99" t="s">
        <v>58</v>
      </c>
      <c r="C8" s="100"/>
      <c r="D8" s="23">
        <v>2021</v>
      </c>
    </row>
    <row r="9" spans="2:4" ht="16" x14ac:dyDescent="0.2">
      <c r="B9" s="99" t="s">
        <v>61</v>
      </c>
      <c r="C9" s="100"/>
      <c r="D9" s="23">
        <v>30</v>
      </c>
    </row>
    <row r="10" spans="2:4" ht="16" x14ac:dyDescent="0.2">
      <c r="B10" s="99" t="s">
        <v>91</v>
      </c>
      <c r="C10" s="100"/>
      <c r="D10" s="23">
        <v>8</v>
      </c>
    </row>
    <row r="11" spans="2:4" ht="4.25" customHeight="1" x14ac:dyDescent="0.15"/>
    <row r="12" spans="2:4" ht="16" x14ac:dyDescent="0.2">
      <c r="B12" s="99" t="s">
        <v>108</v>
      </c>
      <c r="C12" s="100"/>
      <c r="D12" s="91">
        <v>10</v>
      </c>
    </row>
    <row r="13" spans="2:4" ht="16" x14ac:dyDescent="0.2">
      <c r="B13" s="99" t="s">
        <v>109</v>
      </c>
      <c r="C13" s="100"/>
      <c r="D13" s="91">
        <v>0.5</v>
      </c>
    </row>
    <row r="14" spans="2:4" ht="16" x14ac:dyDescent="0.2">
      <c r="B14" s="99" t="s">
        <v>110</v>
      </c>
      <c r="C14" s="100"/>
      <c r="D14" s="91">
        <v>0.75</v>
      </c>
    </row>
    <row r="18" spans="2:7" ht="16" x14ac:dyDescent="0.2">
      <c r="B18" s="18" t="s">
        <v>13</v>
      </c>
      <c r="C18" s="19" t="s">
        <v>29</v>
      </c>
      <c r="D18" s="19" t="s">
        <v>9</v>
      </c>
      <c r="E18" s="20" t="s">
        <v>10</v>
      </c>
      <c r="G18" s="21" t="s">
        <v>0</v>
      </c>
    </row>
    <row r="19" spans="2:7" x14ac:dyDescent="0.15">
      <c r="B19" s="22" t="s">
        <v>16</v>
      </c>
      <c r="C19" s="26"/>
      <c r="D19" s="23" t="s">
        <v>14</v>
      </c>
      <c r="E19" s="24">
        <v>0</v>
      </c>
      <c r="G19" s="25" t="s">
        <v>1</v>
      </c>
    </row>
    <row r="20" spans="2:7" x14ac:dyDescent="0.15">
      <c r="B20" s="22" t="s">
        <v>8</v>
      </c>
      <c r="C20" s="26"/>
      <c r="D20" s="23" t="s">
        <v>14</v>
      </c>
      <c r="E20" s="24">
        <v>0</v>
      </c>
      <c r="G20" s="25" t="s">
        <v>2</v>
      </c>
    </row>
    <row r="21" spans="2:7" x14ac:dyDescent="0.15">
      <c r="B21" s="22" t="s">
        <v>20</v>
      </c>
      <c r="C21" s="26"/>
      <c r="D21" s="23" t="s">
        <v>14</v>
      </c>
      <c r="E21" s="24">
        <v>0</v>
      </c>
      <c r="G21" s="25" t="s">
        <v>3</v>
      </c>
    </row>
    <row r="22" spans="2:7" x14ac:dyDescent="0.15">
      <c r="B22" s="22" t="s">
        <v>6</v>
      </c>
      <c r="C22" s="26" t="s">
        <v>30</v>
      </c>
      <c r="D22" s="23" t="s">
        <v>15</v>
      </c>
      <c r="E22" s="24">
        <v>90</v>
      </c>
      <c r="G22" s="25" t="s">
        <v>4</v>
      </c>
    </row>
    <row r="23" spans="2:7" x14ac:dyDescent="0.15">
      <c r="B23" s="22" t="s">
        <v>7</v>
      </c>
      <c r="C23" s="26" t="s">
        <v>31</v>
      </c>
      <c r="D23" s="23" t="s">
        <v>15</v>
      </c>
      <c r="E23" s="24">
        <v>110</v>
      </c>
      <c r="G23" s="25" t="s">
        <v>5</v>
      </c>
    </row>
    <row r="24" spans="2:7" x14ac:dyDescent="0.15">
      <c r="B24" s="22" t="s">
        <v>100</v>
      </c>
      <c r="C24" s="26" t="s">
        <v>101</v>
      </c>
      <c r="D24" s="23" t="s">
        <v>15</v>
      </c>
      <c r="E24" s="24">
        <v>20</v>
      </c>
      <c r="G24" s="25" t="s">
        <v>21</v>
      </c>
    </row>
    <row r="25" spans="2:7" x14ac:dyDescent="0.15">
      <c r="B25" s="22"/>
      <c r="C25" s="26"/>
      <c r="D25" s="23"/>
      <c r="E25" s="24"/>
      <c r="G25" s="25"/>
    </row>
    <row r="26" spans="2:7" x14ac:dyDescent="0.15">
      <c r="B26" s="22"/>
      <c r="C26" s="26"/>
      <c r="D26" s="23"/>
      <c r="E26" s="24"/>
      <c r="G26" s="25"/>
    </row>
  </sheetData>
  <mergeCells count="7">
    <mergeCell ref="B13:C13"/>
    <mergeCell ref="B14:C14"/>
    <mergeCell ref="B7:C7"/>
    <mergeCell ref="B8:C8"/>
    <mergeCell ref="B9:C9"/>
    <mergeCell ref="B10:C10"/>
    <mergeCell ref="B12:C12"/>
  </mergeCells>
  <phoneticPr fontId="4" type="noConversion"/>
  <pageMargins left="0.7" right="0.7"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13A3-881B-4112-90FF-BBE5D9A30422}">
  <sheetPr>
    <tabColor rgb="FFEF9D3E"/>
    <outlinePr summaryBelow="0" summaryRight="0"/>
    <pageSetUpPr fitToPage="1"/>
  </sheetPr>
  <dimension ref="A2:T105"/>
  <sheetViews>
    <sheetView showGridLines="0" zoomScaleNormal="85" workbookViewId="0">
      <pane ySplit="7" topLeftCell="A8" activePane="bottomLeft" state="frozen"/>
      <selection activeCell="B5" sqref="B5"/>
      <selection pane="bottomLeft" activeCell="V41" sqref="V41"/>
    </sheetView>
  </sheetViews>
  <sheetFormatPr baseColWidth="10" defaultColWidth="11.5" defaultRowHeight="14" outlineLevelCol="1" x14ac:dyDescent="0.15"/>
  <cols>
    <col min="1" max="1" width="3" style="1" bestFit="1" customWidth="1"/>
    <col min="2" max="2" width="10.33203125" style="1" bestFit="1" customWidth="1"/>
    <col min="3" max="6" width="4.5" style="1" customWidth="1"/>
    <col min="7" max="7" width="10.1640625" style="4" customWidth="1"/>
    <col min="8" max="9" width="6.1640625" style="92" customWidth="1"/>
    <col min="10" max="10" width="13.83203125" style="1" customWidth="1"/>
    <col min="11" max="11" width="17.83203125" style="1" bestFit="1" customWidth="1"/>
    <col min="12" max="12" width="44.5" style="1" customWidth="1"/>
    <col min="13" max="13" width="16.5" style="4" bestFit="1" customWidth="1"/>
    <col min="14" max="14" width="17.1640625" style="1" bestFit="1" customWidth="1"/>
    <col min="15" max="15" width="11.33203125" style="1" customWidth="1"/>
    <col min="16" max="16" width="10.83203125" style="1" customWidth="1" collapsed="1"/>
    <col min="17" max="18" width="6.1640625" style="87" hidden="1" customWidth="1" outlineLevel="1"/>
    <col min="19" max="20" width="11" style="87" hidden="1" customWidth="1" outlineLevel="1"/>
    <col min="21" max="16384" width="11.5" style="1"/>
  </cols>
  <sheetData>
    <row r="2" spans="1:20" ht="16" x14ac:dyDescent="0.2">
      <c r="M2" s="19" t="s">
        <v>59</v>
      </c>
      <c r="N2" s="58" t="str">
        <f>TEXT(MIN(Tabelle1[Tag]),"TT.MM.JJ")&amp;" - "&amp;TEXT(MAX(Tabelle1[Tag]),"TT.MM.JJ")</f>
        <v>01.02.21 - 13.09.21</v>
      </c>
    </row>
    <row r="3" spans="1:20" ht="16" x14ac:dyDescent="0.2">
      <c r="M3" s="19" t="s">
        <v>60</v>
      </c>
      <c r="N3" s="1" t="str">
        <f>Basisdaten!D7</f>
        <v>Max Mustermann</v>
      </c>
    </row>
    <row r="5" spans="1:20" ht="15" thickBot="1" x14ac:dyDescent="0.2"/>
    <row r="6" spans="1:20" s="5" customFormat="1" ht="15.5" customHeight="1" x14ac:dyDescent="0.15">
      <c r="C6" s="101" t="s">
        <v>24</v>
      </c>
      <c r="D6" s="102"/>
      <c r="E6" s="101" t="s">
        <v>25</v>
      </c>
      <c r="F6" s="102"/>
      <c r="G6" s="6"/>
      <c r="H6" s="93"/>
      <c r="I6" s="93"/>
      <c r="M6" s="6"/>
      <c r="O6" s="39"/>
      <c r="Q6" s="88" t="s">
        <v>107</v>
      </c>
      <c r="R6" s="88"/>
      <c r="S6" s="88"/>
      <c r="T6" s="88"/>
    </row>
    <row r="7" spans="1:20" s="38" customFormat="1" ht="25.25" customHeight="1" x14ac:dyDescent="0.2">
      <c r="A7" s="82" t="s">
        <v>102</v>
      </c>
      <c r="B7" s="32" t="s">
        <v>17</v>
      </c>
      <c r="C7" s="33" t="s">
        <v>33</v>
      </c>
      <c r="D7" s="34" t="s">
        <v>34</v>
      </c>
      <c r="E7" s="33" t="s">
        <v>35</v>
      </c>
      <c r="F7" s="35" t="s">
        <v>36</v>
      </c>
      <c r="G7" s="36" t="s">
        <v>54</v>
      </c>
      <c r="H7" s="98" t="s">
        <v>111</v>
      </c>
      <c r="I7" s="98" t="s">
        <v>112</v>
      </c>
      <c r="J7" s="37" t="s">
        <v>13</v>
      </c>
      <c r="K7" s="37" t="s">
        <v>0</v>
      </c>
      <c r="L7" s="37" t="s">
        <v>12</v>
      </c>
      <c r="M7" s="37" t="s">
        <v>9</v>
      </c>
      <c r="N7" s="37" t="s">
        <v>10</v>
      </c>
      <c r="O7" s="37" t="s">
        <v>11</v>
      </c>
      <c r="P7" s="37" t="s">
        <v>32</v>
      </c>
      <c r="Q7" s="89" t="s">
        <v>24</v>
      </c>
      <c r="R7" s="89" t="s">
        <v>25</v>
      </c>
      <c r="S7" s="96" t="s">
        <v>113</v>
      </c>
      <c r="T7" s="96" t="s">
        <v>114</v>
      </c>
    </row>
    <row r="8" spans="1:20" x14ac:dyDescent="0.15">
      <c r="A8" s="7" t="str">
        <f>IF(Tabelle1[[#This Row],[Tag]]=0,"",
IF(WEEKDAY(B8)=1,"So",
IF(WEEKDAY(B8)=2,"Mo",
IF(WEEKDAY(B8)=3,"Di",
IF(WEEKDAY(B8)=4,"Mi",
IF(WEEKDAY(B8)=5,"Do",
IF(WEEKDAY(B8)=6,"Fr",
IF(WEEKDAY(B8)=7,"Sa"))))))))</f>
        <v>Mo</v>
      </c>
      <c r="B8" s="8">
        <v>44228</v>
      </c>
      <c r="C8" s="9">
        <v>8</v>
      </c>
      <c r="D8" s="10">
        <v>15</v>
      </c>
      <c r="E8" s="9">
        <v>12</v>
      </c>
      <c r="F8" s="10">
        <v>30</v>
      </c>
      <c r="G8" s="97">
        <f t="shared" ref="G8:G16" si="0">ROUND((E8*60+F8-C8*60-D8)/60,2)</f>
        <v>4.25</v>
      </c>
      <c r="H8" s="94">
        <f>SUMIF(Tabelle1[Tag],Tabelle1[[#This Row],[Tag]],Tabelle1[Stunden])</f>
        <v>4.25</v>
      </c>
      <c r="I8" s="94" cm="1">
        <f t="array" ref="I8">24*(MAX(IF(EXACT(Tabelle1[Tag],Tabelle1[[#This Row],[Tag]]),Tabelle1[Ende]))
-MIN(IF(EXACT(Tabelle1[Tag],Tabelle1[[#This Row],[Tag]]),Tabelle1[Start])))
-SUMIF(Tabelle1[Tag],Tabelle1[[#This Row],[Tag]],Tabelle1[Stunden])</f>
        <v>0</v>
      </c>
      <c r="J8" s="11" t="s">
        <v>6</v>
      </c>
      <c r="K8" s="12" t="s">
        <v>1</v>
      </c>
      <c r="L8" s="53" t="s">
        <v>18</v>
      </c>
      <c r="M8" s="55" t="str">
        <f>IF(J8&lt;&gt;0,VLOOKUP(J8,Basisdaten!$B$19:$E$26,3,),"")</f>
        <v>ja</v>
      </c>
      <c r="N8" s="14">
        <f>IF(AND(J8&lt;&gt;0,M8="ja"),VLOOKUP(J8,Basisdaten!$B$19:$E$26,4,),"")</f>
        <v>90</v>
      </c>
      <c r="O8" s="14">
        <f t="shared" ref="O8:O39" si="1">IF(M8="ja",N8*G8,"")</f>
        <v>382.5</v>
      </c>
      <c r="P8" s="13">
        <f t="shared" ref="P8:P41" si="2">MONTH(B8)</f>
        <v>2</v>
      </c>
      <c r="Q8" s="86">
        <f>TIME(Tabelle1[[#This Row],[Std. Start]],Tabelle1[[#This Row],[Min. Start]],)</f>
        <v>0.34375</v>
      </c>
      <c r="R8" s="86">
        <f>TIME(Tabelle1[[#This Row],[Std. Ende]],Tabelle1[[#This Row],[Min. Ende]],)</f>
        <v>0.52083333333333337</v>
      </c>
      <c r="S8" s="86" t="b">
        <f>OR(AND(Tabelle1[[#This Row],[Σ Arbeit p.Tag]]&gt;9,Tabelle1[[#This Row],[Σ Pause p.Tag]]&lt;Basisdaten!$D$14),AND(Tabelle1[[#This Row],[Σ Arbeit p.Tag]]&lt;=9,Tabelle1[[#This Row],[Σ Arbeit p.Tag]]&gt;6,Tabelle1[[#This Row],[Σ Pause p.Tag]]&lt;Basisdaten!$D$13))</f>
        <v>0</v>
      </c>
      <c r="T8" s="86" t="b">
        <f>(Tabelle1[[#This Row],[Σ Arbeit p.Tag]]&gt;Basisdaten!$D$12)</f>
        <v>0</v>
      </c>
    </row>
    <row r="9" spans="1:20" x14ac:dyDescent="0.15">
      <c r="A9" s="7" t="str">
        <f>IF(Tabelle1[[#This Row],[Tag]]=0,"",
IF(WEEKDAY(B9)=1,"So",
IF(WEEKDAY(B9)=2,"Mo",
IF(WEEKDAY(B9)=3,"Di",
IF(WEEKDAY(B9)=4,"Mi",
IF(WEEKDAY(B9)=5,"Do",
IF(WEEKDAY(B9)=6,"Fr",
IF(WEEKDAY(B9)=7,"Sa"))))))))</f>
        <v>Di</v>
      </c>
      <c r="B9" s="8">
        <v>44229</v>
      </c>
      <c r="C9" s="9">
        <v>8</v>
      </c>
      <c r="D9" s="10">
        <v>0</v>
      </c>
      <c r="E9" s="9">
        <v>12</v>
      </c>
      <c r="F9" s="10">
        <v>0</v>
      </c>
      <c r="G9" s="97">
        <f t="shared" si="0"/>
        <v>4</v>
      </c>
      <c r="H9" s="94">
        <f>SUMIF(Tabelle1[Tag],Tabelle1[[#This Row],[Tag]],Tabelle1[Stunden])</f>
        <v>7.75</v>
      </c>
      <c r="I9" s="94" cm="1">
        <f t="array" ref="I9">24*(MAX(IF(EXACT(Tabelle1[Tag],Tabelle1[[#This Row],[Tag]]),Tabelle1[Ende]))
-MIN(IF(EXACT(Tabelle1[Tag],Tabelle1[[#This Row],[Tag]]),Tabelle1[Start])))
-SUMIF(Tabelle1[Tag],Tabelle1[[#This Row],[Tag]],Tabelle1[Stunden])</f>
        <v>0.25</v>
      </c>
      <c r="J9" s="11" t="s">
        <v>6</v>
      </c>
      <c r="K9" s="12" t="s">
        <v>1</v>
      </c>
      <c r="L9" s="53" t="s">
        <v>18</v>
      </c>
      <c r="M9" s="55" t="str">
        <f>IF(J9&lt;&gt;0,VLOOKUP(J9,Basisdaten!$B$19:$E$26,3,),"")</f>
        <v>ja</v>
      </c>
      <c r="N9" s="14">
        <f>IF(AND(J9&lt;&gt;0,M9="ja"),VLOOKUP(J9,Basisdaten!$B$19:$E$26,4,),"")</f>
        <v>90</v>
      </c>
      <c r="O9" s="14">
        <f t="shared" si="1"/>
        <v>360</v>
      </c>
      <c r="P9" s="13">
        <f t="shared" si="2"/>
        <v>2</v>
      </c>
      <c r="Q9" s="86">
        <f>TIME(Tabelle1[[#This Row],[Std. Start]],Tabelle1[[#This Row],[Min. Start]],)</f>
        <v>0.33333333333333331</v>
      </c>
      <c r="R9" s="86">
        <f>TIME(Tabelle1[[#This Row],[Std. Ende]],Tabelle1[[#This Row],[Min. Ende]],)</f>
        <v>0.5</v>
      </c>
      <c r="S9" s="86" t="b">
        <f>OR(AND(Tabelle1[[#This Row],[Σ Arbeit p.Tag]]&gt;9,Tabelle1[[#This Row],[Σ Pause p.Tag]]&lt;Basisdaten!$D$14),AND(Tabelle1[[#This Row],[Σ Arbeit p.Tag]]&lt;=9,Tabelle1[[#This Row],[Σ Arbeit p.Tag]]&gt;6,Tabelle1[[#This Row],[Σ Pause p.Tag]]&lt;Basisdaten!$D$13))</f>
        <v>1</v>
      </c>
      <c r="T9" s="86" t="b">
        <f>(Tabelle1[[#This Row],[Σ Arbeit p.Tag]]&gt;Basisdaten!$D$12)</f>
        <v>0</v>
      </c>
    </row>
    <row r="10" spans="1:20" x14ac:dyDescent="0.15">
      <c r="A10" s="7" t="str">
        <f>IF(Tabelle1[[#This Row],[Tag]]=0,"",
IF(WEEKDAY(B10)=1,"So",
IF(WEEKDAY(B10)=2,"Mo",
IF(WEEKDAY(B10)=3,"Di",
IF(WEEKDAY(B10)=4,"Mi",
IF(WEEKDAY(B10)=5,"Do",
IF(WEEKDAY(B10)=6,"Fr",
IF(WEEKDAY(B10)=7,"Sa"))))))))</f>
        <v>Di</v>
      </c>
      <c r="B10" s="8">
        <v>44229</v>
      </c>
      <c r="C10" s="9">
        <v>12</v>
      </c>
      <c r="D10" s="10">
        <v>15</v>
      </c>
      <c r="E10" s="9">
        <v>16</v>
      </c>
      <c r="F10" s="10">
        <v>0</v>
      </c>
      <c r="G10" s="97">
        <f>ROUND((E10*60+F10-C10*60-D10)/60,2)</f>
        <v>3.75</v>
      </c>
      <c r="H10" s="94">
        <f>SUMIF(Tabelle1[Tag],Tabelle1[[#This Row],[Tag]],Tabelle1[Stunden])</f>
        <v>7.75</v>
      </c>
      <c r="I10" s="94" cm="1">
        <f t="array" ref="I10">24*(MAX(IF(EXACT(Tabelle1[Tag],Tabelle1[[#This Row],[Tag]]),Tabelle1[Ende]))
-MIN(IF(EXACT(Tabelle1[Tag],Tabelle1[[#This Row],[Tag]]),Tabelle1[Start])))
-SUMIF(Tabelle1[Tag],Tabelle1[[#This Row],[Tag]],Tabelle1[Stunden])</f>
        <v>0.25</v>
      </c>
      <c r="J10" s="11" t="s">
        <v>6</v>
      </c>
      <c r="K10" s="12" t="s">
        <v>1</v>
      </c>
      <c r="L10" s="53" t="s">
        <v>18</v>
      </c>
      <c r="M10" s="55" t="str">
        <f>IF(J10&lt;&gt;0,VLOOKUP(J10,Basisdaten!$B$19:$E$26,3,),"")</f>
        <v>ja</v>
      </c>
      <c r="N10" s="14">
        <f>IF(AND(J10&lt;&gt;0,M10="ja"),VLOOKUP(J10,Basisdaten!$B$19:$E$26,4,),"")</f>
        <v>90</v>
      </c>
      <c r="O10" s="14">
        <f t="shared" si="1"/>
        <v>337.5</v>
      </c>
      <c r="P10" s="13">
        <f>MONTH(B10)</f>
        <v>2</v>
      </c>
      <c r="Q10" s="86">
        <f>TIME(Tabelle1[[#This Row],[Std. Start]],Tabelle1[[#This Row],[Min. Start]],)</f>
        <v>0.51041666666666663</v>
      </c>
      <c r="R10" s="86">
        <f>TIME(Tabelle1[[#This Row],[Std. Ende]],Tabelle1[[#This Row],[Min. Ende]],)</f>
        <v>0.66666666666666663</v>
      </c>
      <c r="S10" s="86" t="b">
        <f>OR(AND(Tabelle1[[#This Row],[Σ Arbeit p.Tag]]&gt;9,Tabelle1[[#This Row],[Σ Pause p.Tag]]&lt;Basisdaten!$D$14),AND(Tabelle1[[#This Row],[Σ Arbeit p.Tag]]&lt;=9,Tabelle1[[#This Row],[Σ Arbeit p.Tag]]&gt;6,Tabelle1[[#This Row],[Σ Pause p.Tag]]&lt;Basisdaten!$D$13))</f>
        <v>1</v>
      </c>
      <c r="T10" s="86" t="b">
        <f>(Tabelle1[[#This Row],[Σ Arbeit p.Tag]]&gt;Basisdaten!$D$12)</f>
        <v>0</v>
      </c>
    </row>
    <row r="11" spans="1:20" x14ac:dyDescent="0.15">
      <c r="A11" s="7" t="str">
        <f>IF(Tabelle1[[#This Row],[Tag]]=0,"",
IF(WEEKDAY(B11)=1,"So",
IF(WEEKDAY(B11)=2,"Mo",
IF(WEEKDAY(B11)=3,"Di",
IF(WEEKDAY(B11)=4,"Mi",
IF(WEEKDAY(B11)=5,"Do",
IF(WEEKDAY(B11)=6,"Fr",
IF(WEEKDAY(B11)=7,"Sa"))))))))</f>
        <v>Mi</v>
      </c>
      <c r="B11" s="8">
        <v>44230</v>
      </c>
      <c r="C11" s="9">
        <v>8</v>
      </c>
      <c r="D11" s="10">
        <v>0</v>
      </c>
      <c r="E11" s="9">
        <v>12</v>
      </c>
      <c r="F11" s="10">
        <v>0</v>
      </c>
      <c r="G11" s="97">
        <f t="shared" si="0"/>
        <v>4</v>
      </c>
      <c r="H11" s="94">
        <f>SUMIF(Tabelle1[Tag],Tabelle1[[#This Row],[Tag]],Tabelle1[Stunden])</f>
        <v>4</v>
      </c>
      <c r="I11" s="94" cm="1">
        <f t="array" ref="I11">24*(MAX(IF(EXACT(Tabelle1[Tag],Tabelle1[[#This Row],[Tag]]),Tabelle1[Ende]))
-MIN(IF(EXACT(Tabelle1[Tag],Tabelle1[[#This Row],[Tag]]),Tabelle1[Start])))
-SUMIF(Tabelle1[Tag],Tabelle1[[#This Row],[Tag]],Tabelle1[Stunden])</f>
        <v>0</v>
      </c>
      <c r="J11" s="11" t="s">
        <v>6</v>
      </c>
      <c r="K11" s="12" t="s">
        <v>1</v>
      </c>
      <c r="L11" s="53" t="s">
        <v>18</v>
      </c>
      <c r="M11" s="55" t="str">
        <f>IF(J11&lt;&gt;0,VLOOKUP(J11,Basisdaten!$B$19:$E$26,3,),"")</f>
        <v>ja</v>
      </c>
      <c r="N11" s="14">
        <f>IF(AND(J11&lt;&gt;0,M11="ja"),VLOOKUP(J11,Basisdaten!$B$19:$E$26,4,),"")</f>
        <v>90</v>
      </c>
      <c r="O11" s="14">
        <f t="shared" si="1"/>
        <v>360</v>
      </c>
      <c r="P11" s="13">
        <f t="shared" si="2"/>
        <v>2</v>
      </c>
      <c r="Q11" s="86">
        <f>TIME(Tabelle1[[#This Row],[Std. Start]],Tabelle1[[#This Row],[Min. Start]],)</f>
        <v>0.33333333333333331</v>
      </c>
      <c r="R11" s="86">
        <f>TIME(Tabelle1[[#This Row],[Std. Ende]],Tabelle1[[#This Row],[Min. Ende]],)</f>
        <v>0.5</v>
      </c>
      <c r="S11" s="86" t="b">
        <f>OR(AND(Tabelle1[[#This Row],[Σ Arbeit p.Tag]]&gt;9,Tabelle1[[#This Row],[Σ Pause p.Tag]]&lt;Basisdaten!$D$14),AND(Tabelle1[[#This Row],[Σ Arbeit p.Tag]]&lt;=9,Tabelle1[[#This Row],[Σ Arbeit p.Tag]]&gt;6,Tabelle1[[#This Row],[Σ Pause p.Tag]]&lt;Basisdaten!$D$13))</f>
        <v>0</v>
      </c>
      <c r="T11" s="86" t="b">
        <f>(Tabelle1[[#This Row],[Σ Arbeit p.Tag]]&gt;Basisdaten!$D$12)</f>
        <v>0</v>
      </c>
    </row>
    <row r="12" spans="1:20" x14ac:dyDescent="0.15">
      <c r="A12" s="7" t="str">
        <f>IF(Tabelle1[[#This Row],[Tag]]=0,"",
IF(WEEKDAY(B12)=1,"So",
IF(WEEKDAY(B12)=2,"Mo",
IF(WEEKDAY(B12)=3,"Di",
IF(WEEKDAY(B12)=4,"Mi",
IF(WEEKDAY(B12)=5,"Do",
IF(WEEKDAY(B12)=6,"Fr",
IF(WEEKDAY(B12)=7,"Sa"))))))))</f>
        <v>Do</v>
      </c>
      <c r="B12" s="8">
        <v>44231</v>
      </c>
      <c r="C12" s="9">
        <v>8</v>
      </c>
      <c r="D12" s="10">
        <v>0</v>
      </c>
      <c r="E12" s="9">
        <v>12</v>
      </c>
      <c r="F12" s="10">
        <v>0</v>
      </c>
      <c r="G12" s="97">
        <f t="shared" si="0"/>
        <v>4</v>
      </c>
      <c r="H12" s="94">
        <f>SUMIF(Tabelle1[Tag],Tabelle1[[#This Row],[Tag]],Tabelle1[Stunden])</f>
        <v>4</v>
      </c>
      <c r="I12" s="94" cm="1">
        <f t="array" ref="I12">24*(MAX(IF(EXACT(Tabelle1[Tag],Tabelle1[[#This Row],[Tag]]),Tabelle1[Ende]))
-MIN(IF(EXACT(Tabelle1[Tag],Tabelle1[[#This Row],[Tag]]),Tabelle1[Start])))
-SUMIF(Tabelle1[Tag],Tabelle1[[#This Row],[Tag]],Tabelle1[Stunden])</f>
        <v>0</v>
      </c>
      <c r="J12" s="11" t="s">
        <v>6</v>
      </c>
      <c r="K12" s="12" t="s">
        <v>1</v>
      </c>
      <c r="L12" s="53" t="s">
        <v>18</v>
      </c>
      <c r="M12" s="55" t="str">
        <f>IF(J12&lt;&gt;0,VLOOKUP(J12,Basisdaten!$B$19:$E$26,3,),"")</f>
        <v>ja</v>
      </c>
      <c r="N12" s="14">
        <f>IF(AND(J12&lt;&gt;0,M12="ja"),VLOOKUP(J12,Basisdaten!$B$19:$E$26,4,),"")</f>
        <v>90</v>
      </c>
      <c r="O12" s="14">
        <f t="shared" si="1"/>
        <v>360</v>
      </c>
      <c r="P12" s="13">
        <f t="shared" si="2"/>
        <v>2</v>
      </c>
      <c r="Q12" s="86">
        <f>TIME(Tabelle1[[#This Row],[Std. Start]],Tabelle1[[#This Row],[Min. Start]],)</f>
        <v>0.33333333333333331</v>
      </c>
      <c r="R12" s="86">
        <f>TIME(Tabelle1[[#This Row],[Std. Ende]],Tabelle1[[#This Row],[Min. Ende]],)</f>
        <v>0.5</v>
      </c>
      <c r="S12" s="86" t="b">
        <f>OR(AND(Tabelle1[[#This Row],[Σ Arbeit p.Tag]]&gt;9,Tabelle1[[#This Row],[Σ Pause p.Tag]]&lt;Basisdaten!$D$14),AND(Tabelle1[[#This Row],[Σ Arbeit p.Tag]]&lt;=9,Tabelle1[[#This Row],[Σ Arbeit p.Tag]]&gt;6,Tabelle1[[#This Row],[Σ Pause p.Tag]]&lt;Basisdaten!$D$13))</f>
        <v>0</v>
      </c>
      <c r="T12" s="86" t="b">
        <f>(Tabelle1[[#This Row],[Σ Arbeit p.Tag]]&gt;Basisdaten!$D$12)</f>
        <v>0</v>
      </c>
    </row>
    <row r="13" spans="1:20" x14ac:dyDescent="0.15">
      <c r="A13" s="7" t="str">
        <f>IF(Tabelle1[[#This Row],[Tag]]=0,"",
IF(WEEKDAY(B13)=1,"So",
IF(WEEKDAY(B13)=2,"Mo",
IF(WEEKDAY(B13)=3,"Di",
IF(WEEKDAY(B13)=4,"Mi",
IF(WEEKDAY(B13)=5,"Do",
IF(WEEKDAY(B13)=6,"Fr",
IF(WEEKDAY(B13)=7,"Sa"))))))))</f>
        <v>Fr</v>
      </c>
      <c r="B13" s="8">
        <v>44232</v>
      </c>
      <c r="C13" s="9">
        <v>8</v>
      </c>
      <c r="D13" s="10">
        <v>0</v>
      </c>
      <c r="E13" s="9">
        <v>12</v>
      </c>
      <c r="F13" s="10">
        <v>0</v>
      </c>
      <c r="G13" s="97">
        <f t="shared" si="0"/>
        <v>4</v>
      </c>
      <c r="H13" s="94">
        <f>SUMIF(Tabelle1[Tag],Tabelle1[[#This Row],[Tag]],Tabelle1[Stunden])</f>
        <v>10.25</v>
      </c>
      <c r="I13" s="94" cm="1">
        <f t="array" ref="I13">24*(MAX(IF(EXACT(Tabelle1[Tag],Tabelle1[[#This Row],[Tag]]),Tabelle1[Ende]))
-MIN(IF(EXACT(Tabelle1[Tag],Tabelle1[[#This Row],[Tag]]),Tabelle1[Start])))
-SUMIF(Tabelle1[Tag],Tabelle1[[#This Row],[Tag]],Tabelle1[Stunden])</f>
        <v>0.75</v>
      </c>
      <c r="J13" s="11" t="s">
        <v>6</v>
      </c>
      <c r="K13" s="12" t="s">
        <v>1</v>
      </c>
      <c r="L13" s="53" t="s">
        <v>18</v>
      </c>
      <c r="M13" s="55" t="str">
        <f>IF(J13&lt;&gt;0,VLOOKUP(J13,Basisdaten!$B$19:$E$26,3,),"")</f>
        <v>ja</v>
      </c>
      <c r="N13" s="14">
        <f>IF(AND(J13&lt;&gt;0,M13="ja"),VLOOKUP(J13,Basisdaten!$B$19:$E$26,4,),"")</f>
        <v>90</v>
      </c>
      <c r="O13" s="14">
        <f t="shared" si="1"/>
        <v>360</v>
      </c>
      <c r="P13" s="13">
        <f t="shared" si="2"/>
        <v>2</v>
      </c>
      <c r="Q13" s="86">
        <f>TIME(Tabelle1[[#This Row],[Std. Start]],Tabelle1[[#This Row],[Min. Start]],)</f>
        <v>0.33333333333333331</v>
      </c>
      <c r="R13" s="86">
        <f>TIME(Tabelle1[[#This Row],[Std. Ende]],Tabelle1[[#This Row],[Min. Ende]],)</f>
        <v>0.5</v>
      </c>
      <c r="S13" s="86" t="b">
        <f>OR(AND(Tabelle1[[#This Row],[Σ Arbeit p.Tag]]&gt;9,Tabelle1[[#This Row],[Σ Pause p.Tag]]&lt;Basisdaten!$D$14),AND(Tabelle1[[#This Row],[Σ Arbeit p.Tag]]&lt;=9,Tabelle1[[#This Row],[Σ Arbeit p.Tag]]&gt;6,Tabelle1[[#This Row],[Σ Pause p.Tag]]&lt;Basisdaten!$D$13))</f>
        <v>0</v>
      </c>
      <c r="T13" s="86" t="b">
        <f>(Tabelle1[[#This Row],[Σ Arbeit p.Tag]]&gt;Basisdaten!$D$12)</f>
        <v>1</v>
      </c>
    </row>
    <row r="14" spans="1:20" x14ac:dyDescent="0.15">
      <c r="A14" s="7" t="str">
        <f>IF(Tabelle1[[#This Row],[Tag]]=0,"",
IF(WEEKDAY(B14)=1,"So",
IF(WEEKDAY(B14)=2,"Mo",
IF(WEEKDAY(B14)=3,"Di",
IF(WEEKDAY(B14)=4,"Mi",
IF(WEEKDAY(B14)=5,"Do",
IF(WEEKDAY(B14)=6,"Fr",
IF(WEEKDAY(B14)=7,"Sa"))))))))</f>
        <v>Fr</v>
      </c>
      <c r="B14" s="8">
        <v>44232</v>
      </c>
      <c r="C14" s="9">
        <v>12</v>
      </c>
      <c r="D14" s="10">
        <v>45</v>
      </c>
      <c r="E14" s="9">
        <v>19</v>
      </c>
      <c r="F14" s="10">
        <v>0</v>
      </c>
      <c r="G14" s="97">
        <f>ROUND((E14*60+F14-C14*60-D14)/60,2)</f>
        <v>6.25</v>
      </c>
      <c r="H14" s="94">
        <f>SUMIF(Tabelle1[Tag],Tabelle1[[#This Row],[Tag]],Tabelle1[Stunden])</f>
        <v>10.25</v>
      </c>
      <c r="I14" s="94" cm="1">
        <f t="array" ref="I14">24*(MAX(IF(EXACT(Tabelle1[Tag],Tabelle1[[#This Row],[Tag]]),Tabelle1[Ende]))
-MIN(IF(EXACT(Tabelle1[Tag],Tabelle1[[#This Row],[Tag]]),Tabelle1[Start])))
-SUMIF(Tabelle1[Tag],Tabelle1[[#This Row],[Tag]],Tabelle1[Stunden])</f>
        <v>0.75</v>
      </c>
      <c r="J14" s="11" t="s">
        <v>6</v>
      </c>
      <c r="K14" s="12" t="s">
        <v>1</v>
      </c>
      <c r="L14" s="53" t="s">
        <v>18</v>
      </c>
      <c r="M14" s="55" t="str">
        <f>IF(J14&lt;&gt;0,VLOOKUP(J14,Basisdaten!$B$19:$E$26,3,),"")</f>
        <v>ja</v>
      </c>
      <c r="N14" s="14">
        <f>IF(AND(J14&lt;&gt;0,M14="ja"),VLOOKUP(J14,Basisdaten!$B$19:$E$26,4,),"")</f>
        <v>90</v>
      </c>
      <c r="O14" s="14">
        <f t="shared" si="1"/>
        <v>562.5</v>
      </c>
      <c r="P14" s="13">
        <f>MONTH(B14)</f>
        <v>2</v>
      </c>
      <c r="Q14" s="86">
        <f>TIME(Tabelle1[[#This Row],[Std. Start]],Tabelle1[[#This Row],[Min. Start]],)</f>
        <v>0.53125</v>
      </c>
      <c r="R14" s="86">
        <f>TIME(Tabelle1[[#This Row],[Std. Ende]],Tabelle1[[#This Row],[Min. Ende]],)</f>
        <v>0.79166666666666663</v>
      </c>
      <c r="S14" s="86" t="b">
        <f>OR(AND(Tabelle1[[#This Row],[Σ Arbeit p.Tag]]&gt;9,Tabelle1[[#This Row],[Σ Pause p.Tag]]&lt;Basisdaten!$D$14),AND(Tabelle1[[#This Row],[Σ Arbeit p.Tag]]&lt;=9,Tabelle1[[#This Row],[Σ Arbeit p.Tag]]&gt;6,Tabelle1[[#This Row],[Σ Pause p.Tag]]&lt;Basisdaten!$D$13))</f>
        <v>0</v>
      </c>
      <c r="T14" s="86" t="b">
        <f>(Tabelle1[[#This Row],[Σ Arbeit p.Tag]]&gt;Basisdaten!$D$12)</f>
        <v>1</v>
      </c>
    </row>
    <row r="15" spans="1:20" x14ac:dyDescent="0.15">
      <c r="A15" s="7" t="str">
        <f>IF(Tabelle1[[#This Row],[Tag]]=0,"",
IF(WEEKDAY(B15)=1,"So",
IF(WEEKDAY(B15)=2,"Mo",
IF(WEEKDAY(B15)=3,"Di",
IF(WEEKDAY(B15)=4,"Mi",
IF(WEEKDAY(B15)=5,"Do",
IF(WEEKDAY(B15)=6,"Fr",
IF(WEEKDAY(B15)=7,"Sa"))))))))</f>
        <v>Mo</v>
      </c>
      <c r="B15" s="8">
        <v>44235</v>
      </c>
      <c r="C15" s="9">
        <v>8</v>
      </c>
      <c r="D15" s="10">
        <v>0</v>
      </c>
      <c r="E15" s="9">
        <v>12</v>
      </c>
      <c r="F15" s="10">
        <v>0</v>
      </c>
      <c r="G15" s="97">
        <f t="shared" si="0"/>
        <v>4</v>
      </c>
      <c r="H15" s="94">
        <f>SUMIF(Tabelle1[Tag],Tabelle1[[#This Row],[Tag]],Tabelle1[Stunden])</f>
        <v>4</v>
      </c>
      <c r="I15" s="94" cm="1">
        <f t="array" ref="I15">24*(MAX(IF(EXACT(Tabelle1[Tag],Tabelle1[[#This Row],[Tag]]),Tabelle1[Ende]))
-MIN(IF(EXACT(Tabelle1[Tag],Tabelle1[[#This Row],[Tag]]),Tabelle1[Start])))
-SUMIF(Tabelle1[Tag],Tabelle1[[#This Row],[Tag]],Tabelle1[Stunden])</f>
        <v>0</v>
      </c>
      <c r="J15" s="11" t="s">
        <v>6</v>
      </c>
      <c r="K15" s="12" t="s">
        <v>1</v>
      </c>
      <c r="L15" s="53" t="s">
        <v>18</v>
      </c>
      <c r="M15" s="55" t="str">
        <f>IF(J15&lt;&gt;0,VLOOKUP(J15,Basisdaten!$B$19:$E$26,3,),"")</f>
        <v>ja</v>
      </c>
      <c r="N15" s="14">
        <f>IF(AND(J15&lt;&gt;0,M15="ja"),VLOOKUP(J15,Basisdaten!$B$19:$E$26,4,),"")</f>
        <v>90</v>
      </c>
      <c r="O15" s="14">
        <f t="shared" si="1"/>
        <v>360</v>
      </c>
      <c r="P15" s="13">
        <f t="shared" si="2"/>
        <v>2</v>
      </c>
      <c r="Q15" s="86">
        <f>TIME(Tabelle1[[#This Row],[Std. Start]],Tabelle1[[#This Row],[Min. Start]],)</f>
        <v>0.33333333333333331</v>
      </c>
      <c r="R15" s="86">
        <f>TIME(Tabelle1[[#This Row],[Std. Ende]],Tabelle1[[#This Row],[Min. Ende]],)</f>
        <v>0.5</v>
      </c>
      <c r="S15" s="86" t="b">
        <f>OR(AND(Tabelle1[[#This Row],[Σ Arbeit p.Tag]]&gt;9,Tabelle1[[#This Row],[Σ Pause p.Tag]]&lt;Basisdaten!$D$14),AND(Tabelle1[[#This Row],[Σ Arbeit p.Tag]]&lt;=9,Tabelle1[[#This Row],[Σ Arbeit p.Tag]]&gt;6,Tabelle1[[#This Row],[Σ Pause p.Tag]]&lt;Basisdaten!$D$13))</f>
        <v>0</v>
      </c>
      <c r="T15" s="86" t="b">
        <f>(Tabelle1[[#This Row],[Σ Arbeit p.Tag]]&gt;Basisdaten!$D$12)</f>
        <v>0</v>
      </c>
    </row>
    <row r="16" spans="1:20" x14ac:dyDescent="0.15">
      <c r="A16" s="7" t="str">
        <f>IF(Tabelle1[[#This Row],[Tag]]=0,"",
IF(WEEKDAY(B16)=1,"So",
IF(WEEKDAY(B16)=2,"Mo",
IF(WEEKDAY(B16)=3,"Di",
IF(WEEKDAY(B16)=4,"Mi",
IF(WEEKDAY(B16)=5,"Do",
IF(WEEKDAY(B16)=6,"Fr",
IF(WEEKDAY(B16)=7,"Sa"))))))))</f>
        <v>Do</v>
      </c>
      <c r="B16" s="8">
        <v>44399</v>
      </c>
      <c r="C16" s="9">
        <v>8</v>
      </c>
      <c r="D16" s="10">
        <v>15</v>
      </c>
      <c r="E16" s="9">
        <v>9</v>
      </c>
      <c r="F16" s="10">
        <v>30</v>
      </c>
      <c r="G16" s="97">
        <f t="shared" si="0"/>
        <v>1.25</v>
      </c>
      <c r="H16" s="94">
        <f>SUMIF(Tabelle1[Tag],Tabelle1[[#This Row],[Tag]],Tabelle1[Stunden])</f>
        <v>2.75</v>
      </c>
      <c r="I16" s="94" cm="1">
        <f t="array" ref="I16">24*(MAX(IF(EXACT(Tabelle1[Tag],Tabelle1[[#This Row],[Tag]]),Tabelle1[Ende]))
-MIN(IF(EXACT(Tabelle1[Tag],Tabelle1[[#This Row],[Tag]]),Tabelle1[Start])))
-SUMIF(Tabelle1[Tag],Tabelle1[[#This Row],[Tag]],Tabelle1[Stunden])</f>
        <v>0.25</v>
      </c>
      <c r="J16" s="11" t="s">
        <v>6</v>
      </c>
      <c r="K16" s="12" t="s">
        <v>1</v>
      </c>
      <c r="L16" s="53" t="s">
        <v>18</v>
      </c>
      <c r="M16" s="55" t="str">
        <f>IF(J16&lt;&gt;0,VLOOKUP(J16,Basisdaten!$B$19:$E$26,3,),"")</f>
        <v>ja</v>
      </c>
      <c r="N16" s="14">
        <f>IF(AND(J16&lt;&gt;0,M16="ja"),VLOOKUP(J16,Basisdaten!$B$19:$E$26,4,),"")</f>
        <v>90</v>
      </c>
      <c r="O16" s="14">
        <f t="shared" si="1"/>
        <v>112.5</v>
      </c>
      <c r="P16" s="13">
        <f t="shared" si="2"/>
        <v>7</v>
      </c>
      <c r="Q16" s="86">
        <f>TIME(Tabelle1[[#This Row],[Std. Start]],Tabelle1[[#This Row],[Min. Start]],)</f>
        <v>0.34375</v>
      </c>
      <c r="R16" s="86">
        <f>TIME(Tabelle1[[#This Row],[Std. Ende]],Tabelle1[[#This Row],[Min. Ende]],)</f>
        <v>0.39583333333333331</v>
      </c>
      <c r="S16" s="86" t="b">
        <f>OR(AND(Tabelle1[[#This Row],[Σ Arbeit p.Tag]]&gt;9,Tabelle1[[#This Row],[Σ Pause p.Tag]]&lt;Basisdaten!$D$14),AND(Tabelle1[[#This Row],[Σ Arbeit p.Tag]]&lt;=9,Tabelle1[[#This Row],[Σ Arbeit p.Tag]]&gt;6,Tabelle1[[#This Row],[Σ Pause p.Tag]]&lt;Basisdaten!$D$13))</f>
        <v>0</v>
      </c>
      <c r="T16" s="86" t="b">
        <f>(Tabelle1[[#This Row],[Σ Arbeit p.Tag]]&gt;Basisdaten!$D$12)</f>
        <v>0</v>
      </c>
    </row>
    <row r="17" spans="1:20" x14ac:dyDescent="0.15">
      <c r="A17" s="7" t="str">
        <f>IF(Tabelle1[[#This Row],[Tag]]=0,"",
IF(WEEKDAY(B17)=1,"So",
IF(WEEKDAY(B17)=2,"Mo",
IF(WEEKDAY(B17)=3,"Di",
IF(WEEKDAY(B17)=4,"Mi",
IF(WEEKDAY(B17)=5,"Do",
IF(WEEKDAY(B17)=6,"Fr",
IF(WEEKDAY(B17)=7,"Sa"))))))))</f>
        <v>Do</v>
      </c>
      <c r="B17" s="8">
        <v>44399</v>
      </c>
      <c r="C17" s="9">
        <v>9</v>
      </c>
      <c r="D17" s="10">
        <v>30</v>
      </c>
      <c r="E17" s="9">
        <v>10</v>
      </c>
      <c r="F17" s="10">
        <v>30</v>
      </c>
      <c r="G17" s="97">
        <f t="shared" ref="G17:G103" si="3">ROUND((E17*60+F17-C17*60-D17)/60,2)</f>
        <v>1</v>
      </c>
      <c r="H17" s="94">
        <f>SUMIF(Tabelle1[Tag],Tabelle1[[#This Row],[Tag]],Tabelle1[Stunden])</f>
        <v>2.75</v>
      </c>
      <c r="I17" s="94" cm="1">
        <f t="array" ref="I17">24*(MAX(IF(EXACT(Tabelle1[Tag],Tabelle1[[#This Row],[Tag]]),Tabelle1[Ende]))
-MIN(IF(EXACT(Tabelle1[Tag],Tabelle1[[#This Row],[Tag]]),Tabelle1[Start])))
-SUMIF(Tabelle1[Tag],Tabelle1[[#This Row],[Tag]],Tabelle1[Stunden])</f>
        <v>0.25</v>
      </c>
      <c r="J17" s="11" t="s">
        <v>20</v>
      </c>
      <c r="K17" s="15" t="s">
        <v>4</v>
      </c>
      <c r="L17" s="54" t="s">
        <v>19</v>
      </c>
      <c r="M17" s="55" t="str">
        <f>IF(J17&lt;&gt;0,VLOOKUP(J17,Basisdaten!$B$19:$E$26,3,),"")</f>
        <v>nein</v>
      </c>
      <c r="N17" s="14" t="str">
        <f>IF(AND(J17&lt;&gt;0,M17="ja"),VLOOKUP(J17,Basisdaten!$B$19:$E$26,4,),"")</f>
        <v/>
      </c>
      <c r="O17" s="14" t="str">
        <f t="shared" si="1"/>
        <v/>
      </c>
      <c r="P17" s="13">
        <f t="shared" si="2"/>
        <v>7</v>
      </c>
      <c r="Q17" s="86">
        <f>TIME(Tabelle1[[#This Row],[Std. Start]],Tabelle1[[#This Row],[Min. Start]],)</f>
        <v>0.39583333333333331</v>
      </c>
      <c r="R17" s="86">
        <f>TIME(Tabelle1[[#This Row],[Std. Ende]],Tabelle1[[#This Row],[Min. Ende]],)</f>
        <v>0.4375</v>
      </c>
      <c r="S17" s="86" t="b">
        <f>OR(AND(Tabelle1[[#This Row],[Σ Arbeit p.Tag]]&gt;9,Tabelle1[[#This Row],[Σ Pause p.Tag]]&lt;Basisdaten!$D$14),AND(Tabelle1[[#This Row],[Σ Arbeit p.Tag]]&lt;=9,Tabelle1[[#This Row],[Σ Arbeit p.Tag]]&gt;6,Tabelle1[[#This Row],[Σ Pause p.Tag]]&lt;Basisdaten!$D$13))</f>
        <v>0</v>
      </c>
      <c r="T17" s="86" t="b">
        <f>(Tabelle1[[#This Row],[Σ Arbeit p.Tag]]&gt;Basisdaten!$D$12)</f>
        <v>0</v>
      </c>
    </row>
    <row r="18" spans="1:20" x14ac:dyDescent="0.15">
      <c r="A18" s="7" t="str">
        <f>IF(Tabelle1[[#This Row],[Tag]]=0,"",
IF(WEEKDAY(B18)=1,"So",
IF(WEEKDAY(B18)=2,"Mo",
IF(WEEKDAY(B18)=3,"Di",
IF(WEEKDAY(B18)=4,"Mi",
IF(WEEKDAY(B18)=5,"Do",
IF(WEEKDAY(B18)=6,"Fr",
IF(WEEKDAY(B18)=7,"Sa"))))))))</f>
        <v>Do</v>
      </c>
      <c r="B18" s="8">
        <v>44399</v>
      </c>
      <c r="C18" s="9">
        <v>10</v>
      </c>
      <c r="D18" s="10">
        <v>45</v>
      </c>
      <c r="E18" s="9">
        <v>11</v>
      </c>
      <c r="F18" s="10">
        <v>15</v>
      </c>
      <c r="G18" s="97">
        <f t="shared" si="3"/>
        <v>0.5</v>
      </c>
      <c r="H18" s="94">
        <f>SUMIF(Tabelle1[Tag],Tabelle1[[#This Row],[Tag]],Tabelle1[Stunden])</f>
        <v>2.75</v>
      </c>
      <c r="I18" s="94" cm="1">
        <f t="array" ref="I18">24*(MAX(IF(EXACT(Tabelle1[Tag],Tabelle1[[#This Row],[Tag]]),Tabelle1[Ende]))
-MIN(IF(EXACT(Tabelle1[Tag],Tabelle1[[#This Row],[Tag]]),Tabelle1[Start])))
-SUMIF(Tabelle1[Tag],Tabelle1[[#This Row],[Tag]],Tabelle1[Stunden])</f>
        <v>0.25</v>
      </c>
      <c r="J18" s="11" t="s">
        <v>7</v>
      </c>
      <c r="K18" s="15" t="s">
        <v>1</v>
      </c>
      <c r="L18" s="54" t="s">
        <v>22</v>
      </c>
      <c r="M18" s="55" t="str">
        <f>IF(J18&lt;&gt;0,VLOOKUP(J18,Basisdaten!$B$19:$E$26,3,),"")</f>
        <v>ja</v>
      </c>
      <c r="N18" s="14">
        <f>IF(AND(J18&lt;&gt;0,M18="ja"),VLOOKUP(J18,Basisdaten!$B$19:$E$26,4,),"")</f>
        <v>110</v>
      </c>
      <c r="O18" s="14">
        <f t="shared" si="1"/>
        <v>55</v>
      </c>
      <c r="P18" s="13">
        <f t="shared" si="2"/>
        <v>7</v>
      </c>
      <c r="Q18" s="86">
        <f>TIME(Tabelle1[[#This Row],[Std. Start]],Tabelle1[[#This Row],[Min. Start]],)</f>
        <v>0.44791666666666669</v>
      </c>
      <c r="R18" s="86">
        <f>TIME(Tabelle1[[#This Row],[Std. Ende]],Tabelle1[[#This Row],[Min. Ende]],)</f>
        <v>0.46875</v>
      </c>
      <c r="S18" s="86" t="b">
        <f>OR(AND(Tabelle1[[#This Row],[Σ Arbeit p.Tag]]&gt;9,Tabelle1[[#This Row],[Σ Pause p.Tag]]&lt;Basisdaten!$D$14),AND(Tabelle1[[#This Row],[Σ Arbeit p.Tag]]&lt;=9,Tabelle1[[#This Row],[Σ Arbeit p.Tag]]&gt;6,Tabelle1[[#This Row],[Σ Pause p.Tag]]&lt;Basisdaten!$D$13))</f>
        <v>0</v>
      </c>
      <c r="T18" s="86" t="b">
        <f>(Tabelle1[[#This Row],[Σ Arbeit p.Tag]]&gt;Basisdaten!$D$12)</f>
        <v>0</v>
      </c>
    </row>
    <row r="19" spans="1:20" x14ac:dyDescent="0.15">
      <c r="A19" s="7" t="str">
        <f>IF(Tabelle1[[#This Row],[Tag]]=0,"",
IF(WEEKDAY(B19)=1,"So",
IF(WEEKDAY(B19)=2,"Mo",
IF(WEEKDAY(B19)=3,"Di",
IF(WEEKDAY(B19)=4,"Mi",
IF(WEEKDAY(B19)=5,"Do",
IF(WEEKDAY(B19)=6,"Fr",
IF(WEEKDAY(B19)=7,"Sa"))))))))</f>
        <v>Fr</v>
      </c>
      <c r="B19" s="8">
        <v>44400</v>
      </c>
      <c r="C19" s="9">
        <v>8</v>
      </c>
      <c r="D19" s="10">
        <v>0</v>
      </c>
      <c r="E19" s="9">
        <v>11</v>
      </c>
      <c r="F19" s="10">
        <v>0</v>
      </c>
      <c r="G19" s="97">
        <f t="shared" si="3"/>
        <v>3</v>
      </c>
      <c r="H19" s="94">
        <f>SUMIF(Tabelle1[Tag],Tabelle1[[#This Row],[Tag]],Tabelle1[Stunden])</f>
        <v>8.5</v>
      </c>
      <c r="I19" s="94" cm="1">
        <f t="array" ref="I19">24*(MAX(IF(EXACT(Tabelle1[Tag],Tabelle1[[#This Row],[Tag]]),Tabelle1[Ende]))
-MIN(IF(EXACT(Tabelle1[Tag],Tabelle1[[#This Row],[Tag]]),Tabelle1[Start])))
-SUMIF(Tabelle1[Tag],Tabelle1[[#This Row],[Tag]],Tabelle1[Stunden])</f>
        <v>1</v>
      </c>
      <c r="J19" s="11" t="s">
        <v>16</v>
      </c>
      <c r="K19" s="15" t="s">
        <v>21</v>
      </c>
      <c r="L19" s="54"/>
      <c r="M19" s="55" t="str">
        <f>IF(J19&lt;&gt;0,VLOOKUP(J19,Basisdaten!$B$19:$E$26,3,),"")</f>
        <v>nein</v>
      </c>
      <c r="N19" s="14" t="str">
        <f>IF(AND(J19&lt;&gt;0,M19="ja"),VLOOKUP(J19,Basisdaten!$B$19:$E$26,4,),"")</f>
        <v/>
      </c>
      <c r="O19" s="14" t="str">
        <f t="shared" si="1"/>
        <v/>
      </c>
      <c r="P19" s="13">
        <f t="shared" si="2"/>
        <v>7</v>
      </c>
      <c r="Q19" s="86">
        <f>TIME(Tabelle1[[#This Row],[Std. Start]],Tabelle1[[#This Row],[Min. Start]],)</f>
        <v>0.33333333333333331</v>
      </c>
      <c r="R19" s="86">
        <f>TIME(Tabelle1[[#This Row],[Std. Ende]],Tabelle1[[#This Row],[Min. Ende]],)</f>
        <v>0.45833333333333331</v>
      </c>
      <c r="S19" s="86" t="b">
        <f>OR(AND(Tabelle1[[#This Row],[Σ Arbeit p.Tag]]&gt;9,Tabelle1[[#This Row],[Σ Pause p.Tag]]&lt;Basisdaten!$D$14),AND(Tabelle1[[#This Row],[Σ Arbeit p.Tag]]&lt;=9,Tabelle1[[#This Row],[Σ Arbeit p.Tag]]&gt;6,Tabelle1[[#This Row],[Σ Pause p.Tag]]&lt;Basisdaten!$D$13))</f>
        <v>0</v>
      </c>
      <c r="T19" s="86" t="b">
        <f>(Tabelle1[[#This Row],[Σ Arbeit p.Tag]]&gt;Basisdaten!$D$12)</f>
        <v>0</v>
      </c>
    </row>
    <row r="20" spans="1:20" x14ac:dyDescent="0.15">
      <c r="A20" s="7" t="str">
        <f>IF(Tabelle1[[#This Row],[Tag]]=0,"",
IF(WEEKDAY(B20)=1,"So",
IF(WEEKDAY(B20)=2,"Mo",
IF(WEEKDAY(B20)=3,"Di",
IF(WEEKDAY(B20)=4,"Mi",
IF(WEEKDAY(B20)=5,"Do",
IF(WEEKDAY(B20)=6,"Fr",
IF(WEEKDAY(B20)=7,"Sa"))))))))</f>
        <v>Fr</v>
      </c>
      <c r="B20" s="8">
        <v>44400</v>
      </c>
      <c r="C20" s="9">
        <v>11</v>
      </c>
      <c r="D20" s="10">
        <v>0</v>
      </c>
      <c r="E20" s="9">
        <v>12</v>
      </c>
      <c r="F20" s="10">
        <v>0</v>
      </c>
      <c r="G20" s="97">
        <f t="shared" si="3"/>
        <v>1</v>
      </c>
      <c r="H20" s="94">
        <f>SUMIF(Tabelle1[Tag],Tabelle1[[#This Row],[Tag]],Tabelle1[Stunden])</f>
        <v>8.5</v>
      </c>
      <c r="I20" s="94" cm="1">
        <f t="array" ref="I20">24*(MAX(IF(EXACT(Tabelle1[Tag],Tabelle1[[#This Row],[Tag]]),Tabelle1[Ende]))
-MIN(IF(EXACT(Tabelle1[Tag],Tabelle1[[#This Row],[Tag]]),Tabelle1[Start])))
-SUMIF(Tabelle1[Tag],Tabelle1[[#This Row],[Tag]],Tabelle1[Stunden])</f>
        <v>1</v>
      </c>
      <c r="J20" s="11" t="s">
        <v>8</v>
      </c>
      <c r="K20" s="15" t="s">
        <v>4</v>
      </c>
      <c r="L20" s="54" t="s">
        <v>23</v>
      </c>
      <c r="M20" s="55" t="str">
        <f>IF(J20&lt;&gt;0,VLOOKUP(J20,Basisdaten!$B$19:$E$26,3,),"")</f>
        <v>nein</v>
      </c>
      <c r="N20" s="14" t="str">
        <f>IF(AND(J20&lt;&gt;0,M20="ja"),VLOOKUP(J20,Basisdaten!$B$19:$E$26,4,),"")</f>
        <v/>
      </c>
      <c r="O20" s="14" t="str">
        <f t="shared" si="1"/>
        <v/>
      </c>
      <c r="P20" s="13">
        <f t="shared" si="2"/>
        <v>7</v>
      </c>
      <c r="Q20" s="86">
        <f>TIME(Tabelle1[[#This Row],[Std. Start]],Tabelle1[[#This Row],[Min. Start]],)</f>
        <v>0.45833333333333331</v>
      </c>
      <c r="R20" s="86">
        <f>TIME(Tabelle1[[#This Row],[Std. Ende]],Tabelle1[[#This Row],[Min. Ende]],)</f>
        <v>0.5</v>
      </c>
      <c r="S20" s="86" t="b">
        <f>OR(AND(Tabelle1[[#This Row],[Σ Arbeit p.Tag]]&gt;9,Tabelle1[[#This Row],[Σ Pause p.Tag]]&lt;Basisdaten!$D$14),AND(Tabelle1[[#This Row],[Σ Arbeit p.Tag]]&lt;=9,Tabelle1[[#This Row],[Σ Arbeit p.Tag]]&gt;6,Tabelle1[[#This Row],[Σ Pause p.Tag]]&lt;Basisdaten!$D$13))</f>
        <v>0</v>
      </c>
      <c r="T20" s="86" t="b">
        <f>(Tabelle1[[#This Row],[Σ Arbeit p.Tag]]&gt;Basisdaten!$D$12)</f>
        <v>0</v>
      </c>
    </row>
    <row r="21" spans="1:20" x14ac:dyDescent="0.15">
      <c r="A21" s="7" t="str">
        <f>IF(Tabelle1[[#This Row],[Tag]]=0,"",
IF(WEEKDAY(B21)=1,"So",
IF(WEEKDAY(B21)=2,"Mo",
IF(WEEKDAY(B21)=3,"Di",
IF(WEEKDAY(B21)=4,"Mi",
IF(WEEKDAY(B21)=5,"Do",
IF(WEEKDAY(B21)=6,"Fr",
IF(WEEKDAY(B21)=7,"Sa"))))))))</f>
        <v>Fr</v>
      </c>
      <c r="B21" s="8">
        <v>44400</v>
      </c>
      <c r="C21" s="9">
        <v>13</v>
      </c>
      <c r="D21" s="10">
        <v>0</v>
      </c>
      <c r="E21" s="9">
        <v>15</v>
      </c>
      <c r="F21" s="10">
        <v>0</v>
      </c>
      <c r="G21" s="97">
        <f t="shared" si="3"/>
        <v>2</v>
      </c>
      <c r="H21" s="94">
        <f>SUMIF(Tabelle1[Tag],Tabelle1[[#This Row],[Tag]],Tabelle1[Stunden])</f>
        <v>8.5</v>
      </c>
      <c r="I21" s="94" cm="1">
        <f t="array" ref="I21">24*(MAX(IF(EXACT(Tabelle1[Tag],Tabelle1[[#This Row],[Tag]]),Tabelle1[Ende]))
-MIN(IF(EXACT(Tabelle1[Tag],Tabelle1[[#This Row],[Tag]]),Tabelle1[Start])))
-SUMIF(Tabelle1[Tag],Tabelle1[[#This Row],[Tag]],Tabelle1[Stunden])</f>
        <v>1</v>
      </c>
      <c r="J21" s="11" t="s">
        <v>6</v>
      </c>
      <c r="K21" s="15" t="s">
        <v>1</v>
      </c>
      <c r="L21" s="54" t="s">
        <v>26</v>
      </c>
      <c r="M21" s="55" t="str">
        <f>IF(J21&lt;&gt;0,VLOOKUP(J21,Basisdaten!$B$19:$E$26,3,),"")</f>
        <v>ja</v>
      </c>
      <c r="N21" s="14">
        <f>IF(AND(J21&lt;&gt;0,M21="ja"),VLOOKUP(J21,Basisdaten!$B$19:$E$26,4,),"")</f>
        <v>90</v>
      </c>
      <c r="O21" s="14">
        <f t="shared" si="1"/>
        <v>180</v>
      </c>
      <c r="P21" s="13">
        <f t="shared" si="2"/>
        <v>7</v>
      </c>
      <c r="Q21" s="86">
        <f>TIME(Tabelle1[[#This Row],[Std. Start]],Tabelle1[[#This Row],[Min. Start]],)</f>
        <v>0.54166666666666663</v>
      </c>
      <c r="R21" s="86">
        <f>TIME(Tabelle1[[#This Row],[Std. Ende]],Tabelle1[[#This Row],[Min. Ende]],)</f>
        <v>0.625</v>
      </c>
      <c r="S21" s="86" t="b">
        <f>OR(AND(Tabelle1[[#This Row],[Σ Arbeit p.Tag]]&gt;9,Tabelle1[[#This Row],[Σ Pause p.Tag]]&lt;Basisdaten!$D$14),AND(Tabelle1[[#This Row],[Σ Arbeit p.Tag]]&lt;=9,Tabelle1[[#This Row],[Σ Arbeit p.Tag]]&gt;6,Tabelle1[[#This Row],[Σ Pause p.Tag]]&lt;Basisdaten!$D$13))</f>
        <v>0</v>
      </c>
      <c r="T21" s="86" t="b">
        <f>(Tabelle1[[#This Row],[Σ Arbeit p.Tag]]&gt;Basisdaten!$D$12)</f>
        <v>0</v>
      </c>
    </row>
    <row r="22" spans="1:20" x14ac:dyDescent="0.15">
      <c r="A22" s="7" t="str">
        <f>IF(Tabelle1[[#This Row],[Tag]]=0,"",
IF(WEEKDAY(B22)=1,"So",
IF(WEEKDAY(B22)=2,"Mo",
IF(WEEKDAY(B22)=3,"Di",
IF(WEEKDAY(B22)=4,"Mi",
IF(WEEKDAY(B22)=5,"Do",
IF(WEEKDAY(B22)=6,"Fr",
IF(WEEKDAY(B22)=7,"Sa"))))))))</f>
        <v>Fr</v>
      </c>
      <c r="B22" s="8">
        <v>44400</v>
      </c>
      <c r="C22" s="9">
        <v>15</v>
      </c>
      <c r="D22" s="10">
        <v>0</v>
      </c>
      <c r="E22" s="9">
        <v>15</v>
      </c>
      <c r="F22" s="10">
        <v>45</v>
      </c>
      <c r="G22" s="97">
        <f t="shared" si="3"/>
        <v>0.75</v>
      </c>
      <c r="H22" s="94">
        <f>SUMIF(Tabelle1[Tag],Tabelle1[[#This Row],[Tag]],Tabelle1[Stunden])</f>
        <v>8.5</v>
      </c>
      <c r="I22" s="94" cm="1">
        <f t="array" ref="I22">24*(MAX(IF(EXACT(Tabelle1[Tag],Tabelle1[[#This Row],[Tag]]),Tabelle1[Ende]))
-MIN(IF(EXACT(Tabelle1[Tag],Tabelle1[[#This Row],[Tag]]),Tabelle1[Start])))
-SUMIF(Tabelle1[Tag],Tabelle1[[#This Row],[Tag]],Tabelle1[Stunden])</f>
        <v>1</v>
      </c>
      <c r="J22" s="11" t="s">
        <v>6</v>
      </c>
      <c r="K22" s="15" t="s">
        <v>2</v>
      </c>
      <c r="L22" s="54" t="s">
        <v>28</v>
      </c>
      <c r="M22" s="55" t="str">
        <f>IF(J22&lt;&gt;0,VLOOKUP(J22,Basisdaten!$B$19:$E$26,3,),"")</f>
        <v>ja</v>
      </c>
      <c r="N22" s="14">
        <f>IF(AND(J22&lt;&gt;0,M22="ja"),VLOOKUP(J22,Basisdaten!$B$19:$E$26,4,),"")</f>
        <v>90</v>
      </c>
      <c r="O22" s="14">
        <f t="shared" si="1"/>
        <v>67.5</v>
      </c>
      <c r="P22" s="13">
        <f t="shared" si="2"/>
        <v>7</v>
      </c>
      <c r="Q22" s="86">
        <f>TIME(Tabelle1[[#This Row],[Std. Start]],Tabelle1[[#This Row],[Min. Start]],)</f>
        <v>0.625</v>
      </c>
      <c r="R22" s="86">
        <f>TIME(Tabelle1[[#This Row],[Std. Ende]],Tabelle1[[#This Row],[Min. Ende]],)</f>
        <v>0.65625</v>
      </c>
      <c r="S22" s="86" t="b">
        <f>OR(AND(Tabelle1[[#This Row],[Σ Arbeit p.Tag]]&gt;9,Tabelle1[[#This Row],[Σ Pause p.Tag]]&lt;Basisdaten!$D$14),AND(Tabelle1[[#This Row],[Σ Arbeit p.Tag]]&lt;=9,Tabelle1[[#This Row],[Σ Arbeit p.Tag]]&gt;6,Tabelle1[[#This Row],[Σ Pause p.Tag]]&lt;Basisdaten!$D$13))</f>
        <v>0</v>
      </c>
      <c r="T22" s="86" t="b">
        <f>(Tabelle1[[#This Row],[Σ Arbeit p.Tag]]&gt;Basisdaten!$D$12)</f>
        <v>0</v>
      </c>
    </row>
    <row r="23" spans="1:20" x14ac:dyDescent="0.15">
      <c r="A23" s="7" t="str">
        <f>IF(Tabelle1[[#This Row],[Tag]]=0,"",
IF(WEEKDAY(B23)=1,"So",
IF(WEEKDAY(B23)=2,"Mo",
IF(WEEKDAY(B23)=3,"Di",
IF(WEEKDAY(B23)=4,"Mi",
IF(WEEKDAY(B23)=5,"Do",
IF(WEEKDAY(B23)=6,"Fr",
IF(WEEKDAY(B23)=7,"Sa"))))))))</f>
        <v>Fr</v>
      </c>
      <c r="B23" s="8">
        <v>44400</v>
      </c>
      <c r="C23" s="9">
        <v>15</v>
      </c>
      <c r="D23" s="10">
        <v>45</v>
      </c>
      <c r="E23" s="9">
        <v>17</v>
      </c>
      <c r="F23" s="10">
        <v>30</v>
      </c>
      <c r="G23" s="97">
        <f t="shared" si="3"/>
        <v>1.75</v>
      </c>
      <c r="H23" s="94">
        <f>SUMIF(Tabelle1[Tag],Tabelle1[[#This Row],[Tag]],Tabelle1[Stunden])</f>
        <v>8.5</v>
      </c>
      <c r="I23" s="94" cm="1">
        <f t="array" ref="I23">24*(MAX(IF(EXACT(Tabelle1[Tag],Tabelle1[[#This Row],[Tag]]),Tabelle1[Ende]))
-MIN(IF(EXACT(Tabelle1[Tag],Tabelle1[[#This Row],[Tag]]),Tabelle1[Start])))
-SUMIF(Tabelle1[Tag],Tabelle1[[#This Row],[Tag]],Tabelle1[Stunden])</f>
        <v>1</v>
      </c>
      <c r="J23" s="11" t="s">
        <v>6</v>
      </c>
      <c r="K23" s="15" t="s">
        <v>1</v>
      </c>
      <c r="L23" s="54" t="s">
        <v>27</v>
      </c>
      <c r="M23" s="55" t="str">
        <f>IF(J23&lt;&gt;0,VLOOKUP(J23,Basisdaten!$B$19:$E$26,3,),"")</f>
        <v>ja</v>
      </c>
      <c r="N23" s="14">
        <f>IF(AND(J23&lt;&gt;0,M23="ja"),VLOOKUP(J23,Basisdaten!$B$19:$E$26,4,),"")</f>
        <v>90</v>
      </c>
      <c r="O23" s="14">
        <f t="shared" si="1"/>
        <v>157.5</v>
      </c>
      <c r="P23" s="13">
        <f t="shared" si="2"/>
        <v>7</v>
      </c>
      <c r="Q23" s="86">
        <f>TIME(Tabelle1[[#This Row],[Std. Start]],Tabelle1[[#This Row],[Min. Start]],)</f>
        <v>0.65625</v>
      </c>
      <c r="R23" s="86">
        <f>TIME(Tabelle1[[#This Row],[Std. Ende]],Tabelle1[[#This Row],[Min. Ende]],)</f>
        <v>0.72916666666666663</v>
      </c>
      <c r="S23" s="86" t="b">
        <f>OR(AND(Tabelle1[[#This Row],[Σ Arbeit p.Tag]]&gt;9,Tabelle1[[#This Row],[Σ Pause p.Tag]]&lt;Basisdaten!$D$14),AND(Tabelle1[[#This Row],[Σ Arbeit p.Tag]]&lt;=9,Tabelle1[[#This Row],[Σ Arbeit p.Tag]]&gt;6,Tabelle1[[#This Row],[Σ Pause p.Tag]]&lt;Basisdaten!$D$13))</f>
        <v>0</v>
      </c>
      <c r="T23" s="86" t="b">
        <f>(Tabelle1[[#This Row],[Σ Arbeit p.Tag]]&gt;Basisdaten!$D$12)</f>
        <v>0</v>
      </c>
    </row>
    <row r="24" spans="1:20" x14ac:dyDescent="0.15">
      <c r="A24" s="7" t="str">
        <f>IF(Tabelle1[[#This Row],[Tag]]=0,"",
IF(WEEKDAY(B24)=1,"So",
IF(WEEKDAY(B24)=2,"Mo",
IF(WEEKDAY(B24)=3,"Di",
IF(WEEKDAY(B24)=4,"Mi",
IF(WEEKDAY(B24)=5,"Do",
IF(WEEKDAY(B24)=6,"Fr",
IF(WEEKDAY(B24)=7,"Sa"))))))))</f>
        <v>Mo</v>
      </c>
      <c r="B24" s="8">
        <v>44403</v>
      </c>
      <c r="C24" s="9">
        <v>8</v>
      </c>
      <c r="D24" s="10">
        <v>0</v>
      </c>
      <c r="E24" s="9">
        <v>12</v>
      </c>
      <c r="F24" s="10">
        <v>0</v>
      </c>
      <c r="G24" s="97">
        <f t="shared" si="3"/>
        <v>4</v>
      </c>
      <c r="H24" s="94">
        <f>SUMIF(Tabelle1[Tag],Tabelle1[[#This Row],[Tag]],Tabelle1[Stunden])</f>
        <v>8</v>
      </c>
      <c r="I24" s="94" cm="1">
        <f t="array" ref="I24">24*(MAX(IF(EXACT(Tabelle1[Tag],Tabelle1[[#This Row],[Tag]]),Tabelle1[Ende]))
-MIN(IF(EXACT(Tabelle1[Tag],Tabelle1[[#This Row],[Tag]]),Tabelle1[Start])))
-SUMIF(Tabelle1[Tag],Tabelle1[[#This Row],[Tag]],Tabelle1[Stunden])</f>
        <v>1.0000000000000018</v>
      </c>
      <c r="J24" s="11" t="s">
        <v>6</v>
      </c>
      <c r="K24" s="15" t="s">
        <v>1</v>
      </c>
      <c r="L24" s="54" t="s">
        <v>26</v>
      </c>
      <c r="M24" s="55" t="str">
        <f>IF(J24&lt;&gt;0,VLOOKUP(J24,Basisdaten!$B$19:$E$26,3,),"")</f>
        <v>ja</v>
      </c>
      <c r="N24" s="14">
        <f>IF(AND(J24&lt;&gt;0,M24="ja"),VLOOKUP(J24,Basisdaten!$B$19:$E$26,4,),"")</f>
        <v>90</v>
      </c>
      <c r="O24" s="14">
        <f t="shared" si="1"/>
        <v>360</v>
      </c>
      <c r="P24" s="13">
        <f t="shared" si="2"/>
        <v>7</v>
      </c>
      <c r="Q24" s="86">
        <f>TIME(Tabelle1[[#This Row],[Std. Start]],Tabelle1[[#This Row],[Min. Start]],)</f>
        <v>0.33333333333333331</v>
      </c>
      <c r="R24" s="86">
        <f>TIME(Tabelle1[[#This Row],[Std. Ende]],Tabelle1[[#This Row],[Min. Ende]],)</f>
        <v>0.5</v>
      </c>
      <c r="S24" s="86" t="b">
        <f>OR(AND(Tabelle1[[#This Row],[Σ Arbeit p.Tag]]&gt;9,Tabelle1[[#This Row],[Σ Pause p.Tag]]&lt;Basisdaten!$D$14),AND(Tabelle1[[#This Row],[Σ Arbeit p.Tag]]&lt;=9,Tabelle1[[#This Row],[Σ Arbeit p.Tag]]&gt;6,Tabelle1[[#This Row],[Σ Pause p.Tag]]&lt;Basisdaten!$D$13))</f>
        <v>0</v>
      </c>
      <c r="T24" s="86" t="b">
        <f>(Tabelle1[[#This Row],[Σ Arbeit p.Tag]]&gt;Basisdaten!$D$12)</f>
        <v>0</v>
      </c>
    </row>
    <row r="25" spans="1:20" x14ac:dyDescent="0.15">
      <c r="A25" s="7" t="str">
        <f>IF(Tabelle1[[#This Row],[Tag]]=0,"",
IF(WEEKDAY(B25)=1,"So",
IF(WEEKDAY(B25)=2,"Mo",
IF(WEEKDAY(B25)=3,"Di",
IF(WEEKDAY(B25)=4,"Mi",
IF(WEEKDAY(B25)=5,"Do",
IF(WEEKDAY(B25)=6,"Fr",
IF(WEEKDAY(B25)=7,"Sa"))))))))</f>
        <v>Mo</v>
      </c>
      <c r="B25" s="8">
        <v>44403</v>
      </c>
      <c r="C25" s="9">
        <v>13</v>
      </c>
      <c r="D25" s="10">
        <v>0</v>
      </c>
      <c r="E25" s="9">
        <v>17</v>
      </c>
      <c r="F25" s="10">
        <v>0</v>
      </c>
      <c r="G25" s="97">
        <f t="shared" si="3"/>
        <v>4</v>
      </c>
      <c r="H25" s="94">
        <f>SUMIF(Tabelle1[Tag],Tabelle1[[#This Row],[Tag]],Tabelle1[Stunden])</f>
        <v>8</v>
      </c>
      <c r="I25" s="94" cm="1">
        <f t="array" ref="I25">24*(MAX(IF(EXACT(Tabelle1[Tag],Tabelle1[[#This Row],[Tag]]),Tabelle1[Ende]))
-MIN(IF(EXACT(Tabelle1[Tag],Tabelle1[[#This Row],[Tag]]),Tabelle1[Start])))
-SUMIF(Tabelle1[Tag],Tabelle1[[#This Row],[Tag]],Tabelle1[Stunden])</f>
        <v>1.0000000000000018</v>
      </c>
      <c r="J25" s="11" t="s">
        <v>6</v>
      </c>
      <c r="K25" s="15" t="s">
        <v>1</v>
      </c>
      <c r="L25" s="54" t="s">
        <v>26</v>
      </c>
      <c r="M25" s="55" t="str">
        <f>IF(J25&lt;&gt;0,VLOOKUP(J25,Basisdaten!$B$19:$E$26,3,),"")</f>
        <v>ja</v>
      </c>
      <c r="N25" s="14">
        <f>IF(AND(J25&lt;&gt;0,M25="ja"),VLOOKUP(J25,Basisdaten!$B$19:$E$26,4,),"")</f>
        <v>90</v>
      </c>
      <c r="O25" s="14">
        <f t="shared" si="1"/>
        <v>360</v>
      </c>
      <c r="P25" s="13">
        <f t="shared" si="2"/>
        <v>7</v>
      </c>
      <c r="Q25" s="86">
        <f>TIME(Tabelle1[[#This Row],[Std. Start]],Tabelle1[[#This Row],[Min. Start]],)</f>
        <v>0.54166666666666663</v>
      </c>
      <c r="R25" s="86">
        <f>TIME(Tabelle1[[#This Row],[Std. Ende]],Tabelle1[[#This Row],[Min. Ende]],)</f>
        <v>0.70833333333333337</v>
      </c>
      <c r="S25" s="86" t="b">
        <f>OR(AND(Tabelle1[[#This Row],[Σ Arbeit p.Tag]]&gt;9,Tabelle1[[#This Row],[Σ Pause p.Tag]]&lt;Basisdaten!$D$14),AND(Tabelle1[[#This Row],[Σ Arbeit p.Tag]]&lt;=9,Tabelle1[[#This Row],[Σ Arbeit p.Tag]]&gt;6,Tabelle1[[#This Row],[Σ Pause p.Tag]]&lt;Basisdaten!$D$13))</f>
        <v>0</v>
      </c>
      <c r="T25" s="86" t="b">
        <f>(Tabelle1[[#This Row],[Σ Arbeit p.Tag]]&gt;Basisdaten!$D$12)</f>
        <v>0</v>
      </c>
    </row>
    <row r="26" spans="1:20" x14ac:dyDescent="0.15">
      <c r="A26" s="7" t="str">
        <f>IF(Tabelle1[[#This Row],[Tag]]=0,"",
IF(WEEKDAY(B26)=1,"So",
IF(WEEKDAY(B26)=2,"Mo",
IF(WEEKDAY(B26)=3,"Di",
IF(WEEKDAY(B26)=4,"Mi",
IF(WEEKDAY(B26)=5,"Do",
IF(WEEKDAY(B26)=6,"Fr",
IF(WEEKDAY(B26)=7,"Sa"))))))))</f>
        <v>Di</v>
      </c>
      <c r="B26" s="8">
        <v>44404</v>
      </c>
      <c r="C26" s="9">
        <v>8</v>
      </c>
      <c r="D26" s="10">
        <v>0</v>
      </c>
      <c r="E26" s="9">
        <v>12</v>
      </c>
      <c r="F26" s="10">
        <v>0</v>
      </c>
      <c r="G26" s="97">
        <f t="shared" si="3"/>
        <v>4</v>
      </c>
      <c r="H26" s="94">
        <f>SUMIF(Tabelle1[Tag],Tabelle1[[#This Row],[Tag]],Tabelle1[Stunden])</f>
        <v>8</v>
      </c>
      <c r="I26" s="94" cm="1">
        <f t="array" ref="I26">24*(MAX(IF(EXACT(Tabelle1[Tag],Tabelle1[[#This Row],[Tag]]),Tabelle1[Ende]))
-MIN(IF(EXACT(Tabelle1[Tag],Tabelle1[[#This Row],[Tag]]),Tabelle1[Start])))
-SUMIF(Tabelle1[Tag],Tabelle1[[#This Row],[Tag]],Tabelle1[Stunden])</f>
        <v>1.0000000000000018</v>
      </c>
      <c r="J26" s="11" t="s">
        <v>6</v>
      </c>
      <c r="K26" s="15" t="s">
        <v>1</v>
      </c>
      <c r="L26" s="54" t="s">
        <v>26</v>
      </c>
      <c r="M26" s="55" t="str">
        <f>IF(J26&lt;&gt;0,VLOOKUP(J26,Basisdaten!$B$19:$E$26,3,),"")</f>
        <v>ja</v>
      </c>
      <c r="N26" s="14">
        <f>IF(AND(J26&lt;&gt;0,M26="ja"),VLOOKUP(J26,Basisdaten!$B$19:$E$26,4,),"")</f>
        <v>90</v>
      </c>
      <c r="O26" s="14">
        <f t="shared" si="1"/>
        <v>360</v>
      </c>
      <c r="P26" s="13">
        <f t="shared" si="2"/>
        <v>7</v>
      </c>
      <c r="Q26" s="86">
        <f>TIME(Tabelle1[[#This Row],[Std. Start]],Tabelle1[[#This Row],[Min. Start]],)</f>
        <v>0.33333333333333331</v>
      </c>
      <c r="R26" s="86">
        <f>TIME(Tabelle1[[#This Row],[Std. Ende]],Tabelle1[[#This Row],[Min. Ende]],)</f>
        <v>0.5</v>
      </c>
      <c r="S26" s="86" t="b">
        <f>OR(AND(Tabelle1[[#This Row],[Σ Arbeit p.Tag]]&gt;9,Tabelle1[[#This Row],[Σ Pause p.Tag]]&lt;Basisdaten!$D$14),AND(Tabelle1[[#This Row],[Σ Arbeit p.Tag]]&lt;=9,Tabelle1[[#This Row],[Σ Arbeit p.Tag]]&gt;6,Tabelle1[[#This Row],[Σ Pause p.Tag]]&lt;Basisdaten!$D$13))</f>
        <v>0</v>
      </c>
      <c r="T26" s="86" t="b">
        <f>(Tabelle1[[#This Row],[Σ Arbeit p.Tag]]&gt;Basisdaten!$D$12)</f>
        <v>0</v>
      </c>
    </row>
    <row r="27" spans="1:20" x14ac:dyDescent="0.15">
      <c r="A27" s="7" t="str">
        <f>IF(Tabelle1[[#This Row],[Tag]]=0,"",
IF(WEEKDAY(B27)=1,"So",
IF(WEEKDAY(B27)=2,"Mo",
IF(WEEKDAY(B27)=3,"Di",
IF(WEEKDAY(B27)=4,"Mi",
IF(WEEKDAY(B27)=5,"Do",
IF(WEEKDAY(B27)=6,"Fr",
IF(WEEKDAY(B27)=7,"Sa"))))))))</f>
        <v>Di</v>
      </c>
      <c r="B27" s="8">
        <v>44404</v>
      </c>
      <c r="C27" s="9">
        <v>13</v>
      </c>
      <c r="D27" s="10">
        <v>0</v>
      </c>
      <c r="E27" s="9">
        <v>17</v>
      </c>
      <c r="F27" s="10">
        <v>0</v>
      </c>
      <c r="G27" s="97">
        <f t="shared" si="3"/>
        <v>4</v>
      </c>
      <c r="H27" s="94">
        <f>SUMIF(Tabelle1[Tag],Tabelle1[[#This Row],[Tag]],Tabelle1[Stunden])</f>
        <v>8</v>
      </c>
      <c r="I27" s="94" cm="1">
        <f t="array" ref="I27">24*(MAX(IF(EXACT(Tabelle1[Tag],Tabelle1[[#This Row],[Tag]]),Tabelle1[Ende]))
-MIN(IF(EXACT(Tabelle1[Tag],Tabelle1[[#This Row],[Tag]]),Tabelle1[Start])))
-SUMIF(Tabelle1[Tag],Tabelle1[[#This Row],[Tag]],Tabelle1[Stunden])</f>
        <v>1.0000000000000018</v>
      </c>
      <c r="J27" s="11" t="s">
        <v>6</v>
      </c>
      <c r="K27" s="15" t="s">
        <v>1</v>
      </c>
      <c r="L27" s="54" t="s">
        <v>26</v>
      </c>
      <c r="M27" s="55" t="str">
        <f>IF(J27&lt;&gt;0,VLOOKUP(J27,Basisdaten!$B$19:$E$26,3,),"")</f>
        <v>ja</v>
      </c>
      <c r="N27" s="14">
        <f>IF(AND(J27&lt;&gt;0,M27="ja"),VLOOKUP(J27,Basisdaten!$B$19:$E$26,4,),"")</f>
        <v>90</v>
      </c>
      <c r="O27" s="14">
        <f t="shared" si="1"/>
        <v>360</v>
      </c>
      <c r="P27" s="13">
        <f t="shared" si="2"/>
        <v>7</v>
      </c>
      <c r="Q27" s="86">
        <f>TIME(Tabelle1[[#This Row],[Std. Start]],Tabelle1[[#This Row],[Min. Start]],)</f>
        <v>0.54166666666666663</v>
      </c>
      <c r="R27" s="86">
        <f>TIME(Tabelle1[[#This Row],[Std. Ende]],Tabelle1[[#This Row],[Min. Ende]],)</f>
        <v>0.70833333333333337</v>
      </c>
      <c r="S27" s="86" t="b">
        <f>OR(AND(Tabelle1[[#This Row],[Σ Arbeit p.Tag]]&gt;9,Tabelle1[[#This Row],[Σ Pause p.Tag]]&lt;Basisdaten!$D$14),AND(Tabelle1[[#This Row],[Σ Arbeit p.Tag]]&lt;=9,Tabelle1[[#This Row],[Σ Arbeit p.Tag]]&gt;6,Tabelle1[[#This Row],[Σ Pause p.Tag]]&lt;Basisdaten!$D$13))</f>
        <v>0</v>
      </c>
      <c r="T27" s="86" t="b">
        <f>(Tabelle1[[#This Row],[Σ Arbeit p.Tag]]&gt;Basisdaten!$D$12)</f>
        <v>0</v>
      </c>
    </row>
    <row r="28" spans="1:20" x14ac:dyDescent="0.15">
      <c r="A28" s="7" t="str">
        <f>IF(Tabelle1[[#This Row],[Tag]]=0,"",
IF(WEEKDAY(B28)=1,"So",
IF(WEEKDAY(B28)=2,"Mo",
IF(WEEKDAY(B28)=3,"Di",
IF(WEEKDAY(B28)=4,"Mi",
IF(WEEKDAY(B28)=5,"Do",
IF(WEEKDAY(B28)=6,"Fr",
IF(WEEKDAY(B28)=7,"Sa"))))))))</f>
        <v>Mi</v>
      </c>
      <c r="B28" s="8">
        <v>44405</v>
      </c>
      <c r="C28" s="9">
        <v>8</v>
      </c>
      <c r="D28" s="10">
        <v>0</v>
      </c>
      <c r="E28" s="9">
        <v>12</v>
      </c>
      <c r="F28" s="10">
        <v>0</v>
      </c>
      <c r="G28" s="97">
        <f t="shared" si="3"/>
        <v>4</v>
      </c>
      <c r="H28" s="94">
        <f>SUMIF(Tabelle1[Tag],Tabelle1[[#This Row],[Tag]],Tabelle1[Stunden])</f>
        <v>10</v>
      </c>
      <c r="I28" s="94" cm="1">
        <f t="array" ref="I28">24*(MAX(IF(EXACT(Tabelle1[Tag],Tabelle1[[#This Row],[Tag]]),Tabelle1[Ende]))
-MIN(IF(EXACT(Tabelle1[Tag],Tabelle1[[#This Row],[Tag]]),Tabelle1[Start])))
-SUMIF(Tabelle1[Tag],Tabelle1[[#This Row],[Tag]],Tabelle1[Stunden])</f>
        <v>1</v>
      </c>
      <c r="J28" s="11" t="s">
        <v>7</v>
      </c>
      <c r="K28" s="15" t="s">
        <v>1</v>
      </c>
      <c r="L28" s="54" t="s">
        <v>26</v>
      </c>
      <c r="M28" s="55" t="str">
        <f>IF(J28&lt;&gt;0,VLOOKUP(J28,Basisdaten!$B$19:$E$26,3,),"")</f>
        <v>ja</v>
      </c>
      <c r="N28" s="14">
        <f>IF(AND(J28&lt;&gt;0,M28="ja"),VLOOKUP(J28,Basisdaten!$B$19:$E$26,4,),"")</f>
        <v>110</v>
      </c>
      <c r="O28" s="14">
        <f t="shared" si="1"/>
        <v>440</v>
      </c>
      <c r="P28" s="13">
        <f t="shared" si="2"/>
        <v>7</v>
      </c>
      <c r="Q28" s="86">
        <f>TIME(Tabelle1[[#This Row],[Std. Start]],Tabelle1[[#This Row],[Min. Start]],)</f>
        <v>0.33333333333333331</v>
      </c>
      <c r="R28" s="86">
        <f>TIME(Tabelle1[[#This Row],[Std. Ende]],Tabelle1[[#This Row],[Min. Ende]],)</f>
        <v>0.5</v>
      </c>
      <c r="S28" s="86" t="b">
        <f>OR(AND(Tabelle1[[#This Row],[Σ Arbeit p.Tag]]&gt;9,Tabelle1[[#This Row],[Σ Pause p.Tag]]&lt;Basisdaten!$D$14),AND(Tabelle1[[#This Row],[Σ Arbeit p.Tag]]&lt;=9,Tabelle1[[#This Row],[Σ Arbeit p.Tag]]&gt;6,Tabelle1[[#This Row],[Σ Pause p.Tag]]&lt;Basisdaten!$D$13))</f>
        <v>0</v>
      </c>
      <c r="T28" s="86" t="b">
        <f>(Tabelle1[[#This Row],[Σ Arbeit p.Tag]]&gt;Basisdaten!$D$12)</f>
        <v>0</v>
      </c>
    </row>
    <row r="29" spans="1:20" x14ac:dyDescent="0.15">
      <c r="A29" s="7" t="str">
        <f>IF(Tabelle1[[#This Row],[Tag]]=0,"",
IF(WEEKDAY(B29)=1,"So",
IF(WEEKDAY(B29)=2,"Mo",
IF(WEEKDAY(B29)=3,"Di",
IF(WEEKDAY(B29)=4,"Mi",
IF(WEEKDAY(B29)=5,"Do",
IF(WEEKDAY(B29)=6,"Fr",
IF(WEEKDAY(B29)=7,"Sa"))))))))</f>
        <v>Mi</v>
      </c>
      <c r="B29" s="8">
        <v>44405</v>
      </c>
      <c r="C29" s="9">
        <v>13</v>
      </c>
      <c r="D29" s="10">
        <v>0</v>
      </c>
      <c r="E29" s="9">
        <v>19</v>
      </c>
      <c r="F29" s="10">
        <v>0</v>
      </c>
      <c r="G29" s="97">
        <f t="shared" si="3"/>
        <v>6</v>
      </c>
      <c r="H29" s="94">
        <f>SUMIF(Tabelle1[Tag],Tabelle1[[#This Row],[Tag]],Tabelle1[Stunden])</f>
        <v>10</v>
      </c>
      <c r="I29" s="94" cm="1">
        <f t="array" ref="I29">24*(MAX(IF(EXACT(Tabelle1[Tag],Tabelle1[[#This Row],[Tag]]),Tabelle1[Ende]))
-MIN(IF(EXACT(Tabelle1[Tag],Tabelle1[[#This Row],[Tag]]),Tabelle1[Start])))
-SUMIF(Tabelle1[Tag],Tabelle1[[#This Row],[Tag]],Tabelle1[Stunden])</f>
        <v>1</v>
      </c>
      <c r="J29" s="11" t="s">
        <v>7</v>
      </c>
      <c r="K29" s="15" t="s">
        <v>1</v>
      </c>
      <c r="L29" s="54" t="s">
        <v>26</v>
      </c>
      <c r="M29" s="55" t="str">
        <f>IF(J29&lt;&gt;0,VLOOKUP(J29,Basisdaten!$B$19:$E$26,3,),"")</f>
        <v>ja</v>
      </c>
      <c r="N29" s="14">
        <f>IF(AND(J29&lt;&gt;0,M29="ja"),VLOOKUP(J29,Basisdaten!$B$19:$E$26,4,),"")</f>
        <v>110</v>
      </c>
      <c r="O29" s="14">
        <f t="shared" si="1"/>
        <v>660</v>
      </c>
      <c r="P29" s="13">
        <f t="shared" si="2"/>
        <v>7</v>
      </c>
      <c r="Q29" s="86">
        <f>TIME(Tabelle1[[#This Row],[Std. Start]],Tabelle1[[#This Row],[Min. Start]],)</f>
        <v>0.54166666666666663</v>
      </c>
      <c r="R29" s="86">
        <f>TIME(Tabelle1[[#This Row],[Std. Ende]],Tabelle1[[#This Row],[Min. Ende]],)</f>
        <v>0.79166666666666663</v>
      </c>
      <c r="S29" s="86" t="b">
        <f>OR(AND(Tabelle1[[#This Row],[Σ Arbeit p.Tag]]&gt;9,Tabelle1[[#This Row],[Σ Pause p.Tag]]&lt;Basisdaten!$D$14),AND(Tabelle1[[#This Row],[Σ Arbeit p.Tag]]&lt;=9,Tabelle1[[#This Row],[Σ Arbeit p.Tag]]&gt;6,Tabelle1[[#This Row],[Σ Pause p.Tag]]&lt;Basisdaten!$D$13))</f>
        <v>0</v>
      </c>
      <c r="T29" s="86" t="b">
        <f>(Tabelle1[[#This Row],[Σ Arbeit p.Tag]]&gt;Basisdaten!$D$12)</f>
        <v>0</v>
      </c>
    </row>
    <row r="30" spans="1:20" x14ac:dyDescent="0.15">
      <c r="A30" s="7" t="str">
        <f>IF(Tabelle1[[#This Row],[Tag]]=0,"",
IF(WEEKDAY(B30)=1,"So",
IF(WEEKDAY(B30)=2,"Mo",
IF(WEEKDAY(B30)=3,"Di",
IF(WEEKDAY(B30)=4,"Mi",
IF(WEEKDAY(B30)=5,"Do",
IF(WEEKDAY(B30)=6,"Fr",
IF(WEEKDAY(B30)=7,"Sa"))))))))</f>
        <v>Mo</v>
      </c>
      <c r="B30" s="8">
        <v>44452</v>
      </c>
      <c r="C30" s="9">
        <v>20</v>
      </c>
      <c r="D30" s="10">
        <v>0</v>
      </c>
      <c r="E30" s="9">
        <v>23</v>
      </c>
      <c r="F30" s="10">
        <v>30</v>
      </c>
      <c r="G30" s="97">
        <f t="shared" si="3"/>
        <v>3.5</v>
      </c>
      <c r="H30" s="94">
        <f>SUMIF(Tabelle1[Tag],Tabelle1[[#This Row],[Tag]],Tabelle1[Stunden])</f>
        <v>3.5</v>
      </c>
      <c r="I30" s="94" cm="1">
        <f t="array" ref="I30">24*(MAX(IF(EXACT(Tabelle1[Tag],Tabelle1[[#This Row],[Tag]]),Tabelle1[Ende]))
-MIN(IF(EXACT(Tabelle1[Tag],Tabelle1[[#This Row],[Tag]]),Tabelle1[Start])))
-SUMIF(Tabelle1[Tag],Tabelle1[[#This Row],[Tag]],Tabelle1[Stunden])</f>
        <v>0</v>
      </c>
      <c r="J30" s="11" t="s">
        <v>100</v>
      </c>
      <c r="K30" s="15" t="s">
        <v>5</v>
      </c>
      <c r="L30" s="54"/>
      <c r="M30" s="55" t="str">
        <f>IF(J30&lt;&gt;0,VLOOKUP(J30,Basisdaten!$B$19:$E$26,3,),"")</f>
        <v>ja</v>
      </c>
      <c r="N30" s="14">
        <f>IF(AND(J30&lt;&gt;0,M30="ja"),VLOOKUP(J30,Basisdaten!$B$19:$E$26,4,),"")</f>
        <v>20</v>
      </c>
      <c r="O30" s="14">
        <f t="shared" si="1"/>
        <v>70</v>
      </c>
      <c r="P30" s="13">
        <f t="shared" si="2"/>
        <v>9</v>
      </c>
      <c r="Q30" s="86">
        <f>TIME(Tabelle1[[#This Row],[Std. Start]],Tabelle1[[#This Row],[Min. Start]],)</f>
        <v>0.83333333333333337</v>
      </c>
      <c r="R30" s="86">
        <f>TIME(Tabelle1[[#This Row],[Std. Ende]],Tabelle1[[#This Row],[Min. Ende]],)</f>
        <v>0.97916666666666663</v>
      </c>
      <c r="S30" s="86" t="b">
        <f>OR(AND(Tabelle1[[#This Row],[Σ Arbeit p.Tag]]&gt;9,Tabelle1[[#This Row],[Σ Pause p.Tag]]&lt;Basisdaten!$D$14),AND(Tabelle1[[#This Row],[Σ Arbeit p.Tag]]&lt;=9,Tabelle1[[#This Row],[Σ Arbeit p.Tag]]&gt;6,Tabelle1[[#This Row],[Σ Pause p.Tag]]&lt;Basisdaten!$D$13))</f>
        <v>0</v>
      </c>
      <c r="T30" s="86" t="b">
        <f>(Tabelle1[[#This Row],[Σ Arbeit p.Tag]]&gt;Basisdaten!$D$12)</f>
        <v>0</v>
      </c>
    </row>
    <row r="31" spans="1:20" x14ac:dyDescent="0.15">
      <c r="A31" s="7" t="str">
        <f>IF(Tabelle1[[#This Row],[Tag]]=0,"",
IF(WEEKDAY(B31)=1,"So",
IF(WEEKDAY(B31)=2,"Mo",
IF(WEEKDAY(B31)=3,"Di",
IF(WEEKDAY(B31)=4,"Mi",
IF(WEEKDAY(B31)=5,"Do",
IF(WEEKDAY(B31)=6,"Fr",
IF(WEEKDAY(B31)=7,"Sa"))))))))</f>
        <v/>
      </c>
      <c r="B31" s="8"/>
      <c r="C31" s="9"/>
      <c r="D31" s="10"/>
      <c r="E31" s="9"/>
      <c r="F31" s="10"/>
      <c r="G31" s="97">
        <f t="shared" si="3"/>
        <v>0</v>
      </c>
      <c r="H31" s="94">
        <f>SUMIF(Tabelle1[Tag],Tabelle1[[#This Row],[Tag]],Tabelle1[Stunden])</f>
        <v>0</v>
      </c>
      <c r="I31" s="94" cm="1">
        <f t="array" ref="I31">24*(MAX(IF(EXACT(Tabelle1[Tag],Tabelle1[[#This Row],[Tag]]),Tabelle1[Ende]))
-MIN(IF(EXACT(Tabelle1[Tag],Tabelle1[[#This Row],[Tag]]),Tabelle1[Start])))
-SUMIF(Tabelle1[Tag],Tabelle1[[#This Row],[Tag]],Tabelle1[Stunden])</f>
        <v>0</v>
      </c>
      <c r="J31" s="11"/>
      <c r="K31" s="15"/>
      <c r="L31" s="54"/>
      <c r="M31" s="55" t="str">
        <f>IF(J31&lt;&gt;0,VLOOKUP(J31,Basisdaten!$B$19:$E$26,3,),"")</f>
        <v/>
      </c>
      <c r="N31" s="14" t="str">
        <f>IF(AND(J31&lt;&gt;0,M31="ja"),VLOOKUP(J31,Basisdaten!$B$19:$E$26,4,),"")</f>
        <v/>
      </c>
      <c r="O31" s="14" t="str">
        <f t="shared" si="1"/>
        <v/>
      </c>
      <c r="P31" s="13">
        <f t="shared" si="2"/>
        <v>1</v>
      </c>
      <c r="Q31" s="86">
        <f>TIME(Tabelle1[[#This Row],[Std. Start]],Tabelle1[[#This Row],[Min. Start]],)</f>
        <v>0</v>
      </c>
      <c r="R31" s="86">
        <f>TIME(Tabelle1[[#This Row],[Std. Ende]],Tabelle1[[#This Row],[Min. Ende]],)</f>
        <v>0</v>
      </c>
      <c r="S31" s="86" t="b">
        <f>OR(AND(Tabelle1[[#This Row],[Σ Arbeit p.Tag]]&gt;9,Tabelle1[[#This Row],[Σ Pause p.Tag]]&lt;Basisdaten!$D$14),AND(Tabelle1[[#This Row],[Σ Arbeit p.Tag]]&lt;=9,Tabelle1[[#This Row],[Σ Arbeit p.Tag]]&gt;6,Tabelle1[[#This Row],[Σ Pause p.Tag]]&lt;Basisdaten!$D$13))</f>
        <v>0</v>
      </c>
      <c r="T31" s="86" t="b">
        <f>(Tabelle1[[#This Row],[Σ Arbeit p.Tag]]&gt;Basisdaten!$D$12)</f>
        <v>0</v>
      </c>
    </row>
    <row r="32" spans="1:20" x14ac:dyDescent="0.15">
      <c r="A32" s="7" t="str">
        <f>IF(Tabelle1[[#This Row],[Tag]]=0,"",
IF(WEEKDAY(B32)=1,"So",
IF(WEEKDAY(B32)=2,"Mo",
IF(WEEKDAY(B32)=3,"Di",
IF(WEEKDAY(B32)=4,"Mi",
IF(WEEKDAY(B32)=5,"Do",
IF(WEEKDAY(B32)=6,"Fr",
IF(WEEKDAY(B32)=7,"Sa"))))))))</f>
        <v/>
      </c>
      <c r="B32" s="8"/>
      <c r="C32" s="9"/>
      <c r="D32" s="10"/>
      <c r="E32" s="9"/>
      <c r="F32" s="10"/>
      <c r="G32" s="97">
        <f t="shared" si="3"/>
        <v>0</v>
      </c>
      <c r="H32" s="94">
        <f>SUMIF(Tabelle1[Tag],Tabelle1[[#This Row],[Tag]],Tabelle1[Stunden])</f>
        <v>0</v>
      </c>
      <c r="I32" s="94" cm="1">
        <f t="array" ref="I32">24*(MAX(IF(EXACT(Tabelle1[Tag],Tabelle1[[#This Row],[Tag]]),Tabelle1[Ende]))
-MIN(IF(EXACT(Tabelle1[Tag],Tabelle1[[#This Row],[Tag]]),Tabelle1[Start])))
-SUMIF(Tabelle1[Tag],Tabelle1[[#This Row],[Tag]],Tabelle1[Stunden])</f>
        <v>0</v>
      </c>
      <c r="J32" s="11"/>
      <c r="K32" s="15"/>
      <c r="L32" s="54"/>
      <c r="M32" s="55" t="str">
        <f>IF(J32&lt;&gt;0,VLOOKUP(J32,Basisdaten!$B$19:$E$26,3,),"")</f>
        <v/>
      </c>
      <c r="N32" s="14" t="str">
        <f>IF(AND(J32&lt;&gt;0,M32="ja"),VLOOKUP(J32,Basisdaten!$B$19:$E$26,4,),"")</f>
        <v/>
      </c>
      <c r="O32" s="14" t="str">
        <f t="shared" si="1"/>
        <v/>
      </c>
      <c r="P32" s="13">
        <f t="shared" si="2"/>
        <v>1</v>
      </c>
      <c r="Q32" s="86">
        <f>TIME(Tabelle1[[#This Row],[Std. Start]],Tabelle1[[#This Row],[Min. Start]],)</f>
        <v>0</v>
      </c>
      <c r="R32" s="86">
        <f>TIME(Tabelle1[[#This Row],[Std. Ende]],Tabelle1[[#This Row],[Min. Ende]],)</f>
        <v>0</v>
      </c>
      <c r="S32" s="86" t="b">
        <f>OR(AND(Tabelle1[[#This Row],[Σ Arbeit p.Tag]]&gt;9,Tabelle1[[#This Row],[Σ Pause p.Tag]]&lt;Basisdaten!$D$14),AND(Tabelle1[[#This Row],[Σ Arbeit p.Tag]]&lt;=9,Tabelle1[[#This Row],[Σ Arbeit p.Tag]]&gt;6,Tabelle1[[#This Row],[Σ Pause p.Tag]]&lt;Basisdaten!$D$13))</f>
        <v>0</v>
      </c>
      <c r="T32" s="86" t="b">
        <f>(Tabelle1[[#This Row],[Σ Arbeit p.Tag]]&gt;Basisdaten!$D$12)</f>
        <v>0</v>
      </c>
    </row>
    <row r="33" spans="1:20" x14ac:dyDescent="0.15">
      <c r="A33" s="7" t="str">
        <f>IF(Tabelle1[[#This Row],[Tag]]=0,"",
IF(WEEKDAY(B33)=1,"So",
IF(WEEKDAY(B33)=2,"Mo",
IF(WEEKDAY(B33)=3,"Di",
IF(WEEKDAY(B33)=4,"Mi",
IF(WEEKDAY(B33)=5,"Do",
IF(WEEKDAY(B33)=6,"Fr",
IF(WEEKDAY(B33)=7,"Sa"))))))))</f>
        <v/>
      </c>
      <c r="B33" s="8"/>
      <c r="C33" s="9"/>
      <c r="D33" s="10"/>
      <c r="E33" s="9"/>
      <c r="F33" s="10"/>
      <c r="G33" s="97">
        <f t="shared" si="3"/>
        <v>0</v>
      </c>
      <c r="H33" s="94">
        <f>SUMIF(Tabelle1[Tag],Tabelle1[[#This Row],[Tag]],Tabelle1[Stunden])</f>
        <v>0</v>
      </c>
      <c r="I33" s="94" cm="1">
        <f t="array" ref="I33">24*(MAX(IF(EXACT(Tabelle1[Tag],Tabelle1[[#This Row],[Tag]]),Tabelle1[Ende]))
-MIN(IF(EXACT(Tabelle1[Tag],Tabelle1[[#This Row],[Tag]]),Tabelle1[Start])))
-SUMIF(Tabelle1[Tag],Tabelle1[[#This Row],[Tag]],Tabelle1[Stunden])</f>
        <v>0</v>
      </c>
      <c r="J33" s="11"/>
      <c r="K33" s="15"/>
      <c r="L33" s="54"/>
      <c r="M33" s="55" t="str">
        <f>IF(J33&lt;&gt;0,VLOOKUP(J33,Basisdaten!$B$19:$E$26,3,),"")</f>
        <v/>
      </c>
      <c r="N33" s="14" t="str">
        <f>IF(AND(J33&lt;&gt;0,M33="ja"),VLOOKUP(J33,Basisdaten!$B$19:$E$26,4,),"")</f>
        <v/>
      </c>
      <c r="O33" s="14" t="str">
        <f t="shared" si="1"/>
        <v/>
      </c>
      <c r="P33" s="13">
        <f t="shared" si="2"/>
        <v>1</v>
      </c>
      <c r="Q33" s="86">
        <f>TIME(Tabelle1[[#This Row],[Std. Start]],Tabelle1[[#This Row],[Min. Start]],)</f>
        <v>0</v>
      </c>
      <c r="R33" s="86">
        <f>TIME(Tabelle1[[#This Row],[Std. Ende]],Tabelle1[[#This Row],[Min. Ende]],)</f>
        <v>0</v>
      </c>
      <c r="S33" s="86" t="b">
        <f>OR(AND(Tabelle1[[#This Row],[Σ Arbeit p.Tag]]&gt;9,Tabelle1[[#This Row],[Σ Pause p.Tag]]&lt;Basisdaten!$D$14),AND(Tabelle1[[#This Row],[Σ Arbeit p.Tag]]&lt;=9,Tabelle1[[#This Row],[Σ Arbeit p.Tag]]&gt;6,Tabelle1[[#This Row],[Σ Pause p.Tag]]&lt;Basisdaten!$D$13))</f>
        <v>0</v>
      </c>
      <c r="T33" s="86" t="b">
        <f>(Tabelle1[[#This Row],[Σ Arbeit p.Tag]]&gt;Basisdaten!$D$12)</f>
        <v>0</v>
      </c>
    </row>
    <row r="34" spans="1:20" x14ac:dyDescent="0.15">
      <c r="A34" s="7" t="str">
        <f>IF(Tabelle1[[#This Row],[Tag]]=0,"",
IF(WEEKDAY(B34)=1,"So",
IF(WEEKDAY(B34)=2,"Mo",
IF(WEEKDAY(B34)=3,"Di",
IF(WEEKDAY(B34)=4,"Mi",
IF(WEEKDAY(B34)=5,"Do",
IF(WEEKDAY(B34)=6,"Fr",
IF(WEEKDAY(B34)=7,"Sa"))))))))</f>
        <v/>
      </c>
      <c r="B34" s="8"/>
      <c r="C34" s="9"/>
      <c r="D34" s="10"/>
      <c r="E34" s="9"/>
      <c r="F34" s="10"/>
      <c r="G34" s="97">
        <f t="shared" si="3"/>
        <v>0</v>
      </c>
      <c r="H34" s="94">
        <f>SUMIF(Tabelle1[Tag],Tabelle1[[#This Row],[Tag]],Tabelle1[Stunden])</f>
        <v>0</v>
      </c>
      <c r="I34" s="94" cm="1">
        <f t="array" ref="I34">24*(MAX(IF(EXACT(Tabelle1[Tag],Tabelle1[[#This Row],[Tag]]),Tabelle1[Ende]))
-MIN(IF(EXACT(Tabelle1[Tag],Tabelle1[[#This Row],[Tag]]),Tabelle1[Start])))
-SUMIF(Tabelle1[Tag],Tabelle1[[#This Row],[Tag]],Tabelle1[Stunden])</f>
        <v>0</v>
      </c>
      <c r="J34" s="11"/>
      <c r="K34" s="15"/>
      <c r="L34" s="54"/>
      <c r="M34" s="55" t="str">
        <f>IF(J34&lt;&gt;0,VLOOKUP(J34,Basisdaten!$B$19:$E$26,3,),"")</f>
        <v/>
      </c>
      <c r="N34" s="14" t="str">
        <f>IF(AND(J34&lt;&gt;0,M34="ja"),VLOOKUP(J34,Basisdaten!$B$19:$E$26,4,),"")</f>
        <v/>
      </c>
      <c r="O34" s="14" t="str">
        <f t="shared" si="1"/>
        <v/>
      </c>
      <c r="P34" s="13">
        <f t="shared" si="2"/>
        <v>1</v>
      </c>
      <c r="Q34" s="86">
        <f>TIME(Tabelle1[[#This Row],[Std. Start]],Tabelle1[[#This Row],[Min. Start]],)</f>
        <v>0</v>
      </c>
      <c r="R34" s="86">
        <f>TIME(Tabelle1[[#This Row],[Std. Ende]],Tabelle1[[#This Row],[Min. Ende]],)</f>
        <v>0</v>
      </c>
      <c r="S34" s="86" t="b">
        <f>OR(AND(Tabelle1[[#This Row],[Σ Arbeit p.Tag]]&gt;9,Tabelle1[[#This Row],[Σ Pause p.Tag]]&lt;Basisdaten!$D$14),AND(Tabelle1[[#This Row],[Σ Arbeit p.Tag]]&lt;=9,Tabelle1[[#This Row],[Σ Arbeit p.Tag]]&gt;6,Tabelle1[[#This Row],[Σ Pause p.Tag]]&lt;Basisdaten!$D$13))</f>
        <v>0</v>
      </c>
      <c r="T34" s="86" t="b">
        <f>(Tabelle1[[#This Row],[Σ Arbeit p.Tag]]&gt;Basisdaten!$D$12)</f>
        <v>0</v>
      </c>
    </row>
    <row r="35" spans="1:20" x14ac:dyDescent="0.15">
      <c r="A35" s="7" t="str">
        <f>IF(Tabelle1[[#This Row],[Tag]]=0,"",
IF(WEEKDAY(B35)=1,"So",
IF(WEEKDAY(B35)=2,"Mo",
IF(WEEKDAY(B35)=3,"Di",
IF(WEEKDAY(B35)=4,"Mi",
IF(WEEKDAY(B35)=5,"Do",
IF(WEEKDAY(B35)=6,"Fr",
IF(WEEKDAY(B35)=7,"Sa"))))))))</f>
        <v/>
      </c>
      <c r="B35" s="8"/>
      <c r="C35" s="9"/>
      <c r="D35" s="10"/>
      <c r="E35" s="9"/>
      <c r="F35" s="10"/>
      <c r="G35" s="97">
        <f t="shared" si="3"/>
        <v>0</v>
      </c>
      <c r="H35" s="94">
        <f>SUMIF(Tabelle1[Tag],Tabelle1[[#This Row],[Tag]],Tabelle1[Stunden])</f>
        <v>0</v>
      </c>
      <c r="I35" s="94" cm="1">
        <f t="array" ref="I35">24*(MAX(IF(EXACT(Tabelle1[Tag],Tabelle1[[#This Row],[Tag]]),Tabelle1[Ende]))
-MIN(IF(EXACT(Tabelle1[Tag],Tabelle1[[#This Row],[Tag]]),Tabelle1[Start])))
-SUMIF(Tabelle1[Tag],Tabelle1[[#This Row],[Tag]],Tabelle1[Stunden])</f>
        <v>0</v>
      </c>
      <c r="J35" s="11"/>
      <c r="K35" s="15"/>
      <c r="L35" s="54"/>
      <c r="M35" s="55" t="str">
        <f>IF(J35&lt;&gt;0,VLOOKUP(J35,Basisdaten!$B$19:$E$26,3,),"")</f>
        <v/>
      </c>
      <c r="N35" s="14" t="str">
        <f>IF(AND(J35&lt;&gt;0,M35="ja"),VLOOKUP(J35,Basisdaten!$B$19:$E$26,4,),"")</f>
        <v/>
      </c>
      <c r="O35" s="14" t="str">
        <f t="shared" si="1"/>
        <v/>
      </c>
      <c r="P35" s="13">
        <f t="shared" si="2"/>
        <v>1</v>
      </c>
      <c r="Q35" s="86">
        <f>TIME(Tabelle1[[#This Row],[Std. Start]],Tabelle1[[#This Row],[Min. Start]],)</f>
        <v>0</v>
      </c>
      <c r="R35" s="86">
        <f>TIME(Tabelle1[[#This Row],[Std. Ende]],Tabelle1[[#This Row],[Min. Ende]],)</f>
        <v>0</v>
      </c>
      <c r="S35" s="86" t="b">
        <f>OR(AND(Tabelle1[[#This Row],[Σ Arbeit p.Tag]]&gt;9,Tabelle1[[#This Row],[Σ Pause p.Tag]]&lt;Basisdaten!$D$14),AND(Tabelle1[[#This Row],[Σ Arbeit p.Tag]]&lt;=9,Tabelle1[[#This Row],[Σ Arbeit p.Tag]]&gt;6,Tabelle1[[#This Row],[Σ Pause p.Tag]]&lt;Basisdaten!$D$13))</f>
        <v>0</v>
      </c>
      <c r="T35" s="86" t="b">
        <f>(Tabelle1[[#This Row],[Σ Arbeit p.Tag]]&gt;Basisdaten!$D$12)</f>
        <v>0</v>
      </c>
    </row>
    <row r="36" spans="1:20" x14ac:dyDescent="0.15">
      <c r="A36" s="7" t="str">
        <f>IF(Tabelle1[[#This Row],[Tag]]=0,"",
IF(WEEKDAY(B36)=1,"So",
IF(WEEKDAY(B36)=2,"Mo",
IF(WEEKDAY(B36)=3,"Di",
IF(WEEKDAY(B36)=4,"Mi",
IF(WEEKDAY(B36)=5,"Do",
IF(WEEKDAY(B36)=6,"Fr",
IF(WEEKDAY(B36)=7,"Sa"))))))))</f>
        <v/>
      </c>
      <c r="B36" s="8"/>
      <c r="C36" s="9"/>
      <c r="D36" s="10"/>
      <c r="E36" s="9"/>
      <c r="F36" s="10"/>
      <c r="G36" s="97">
        <f t="shared" ref="G36:G100" si="4">ROUND((E36*60+F36-C36*60-D36)/60,2)</f>
        <v>0</v>
      </c>
      <c r="H36" s="94">
        <f>SUMIF(Tabelle1[Tag],Tabelle1[[#This Row],[Tag]],Tabelle1[Stunden])</f>
        <v>0</v>
      </c>
      <c r="I36" s="94" cm="1">
        <f t="array" ref="I36">24*(MAX(IF(EXACT(Tabelle1[Tag],Tabelle1[[#This Row],[Tag]]),Tabelle1[Ende]))
-MIN(IF(EXACT(Tabelle1[Tag],Tabelle1[[#This Row],[Tag]]),Tabelle1[Start])))
-SUMIF(Tabelle1[Tag],Tabelle1[[#This Row],[Tag]],Tabelle1[Stunden])</f>
        <v>0</v>
      </c>
      <c r="J36" s="11"/>
      <c r="K36" s="15"/>
      <c r="L36" s="54"/>
      <c r="M36" s="55" t="str">
        <f>IF(J36&lt;&gt;0,VLOOKUP(J36,Basisdaten!$B$19:$E$26,3,),"")</f>
        <v/>
      </c>
      <c r="N36" s="14" t="str">
        <f>IF(AND(J36&lt;&gt;0,M36="ja"),VLOOKUP(J36,Basisdaten!$B$19:$E$26,4,),"")</f>
        <v/>
      </c>
      <c r="O36" s="14" t="str">
        <f t="shared" si="1"/>
        <v/>
      </c>
      <c r="P36" s="13">
        <f t="shared" si="2"/>
        <v>1</v>
      </c>
      <c r="Q36" s="86">
        <f>TIME(Tabelle1[[#This Row],[Std. Start]],Tabelle1[[#This Row],[Min. Start]],)</f>
        <v>0</v>
      </c>
      <c r="R36" s="86">
        <f>TIME(Tabelle1[[#This Row],[Std. Ende]],Tabelle1[[#This Row],[Min. Ende]],)</f>
        <v>0</v>
      </c>
      <c r="S36" s="86" t="b">
        <f>OR(AND(Tabelle1[[#This Row],[Σ Arbeit p.Tag]]&gt;9,Tabelle1[[#This Row],[Σ Pause p.Tag]]&lt;Basisdaten!$D$14),AND(Tabelle1[[#This Row],[Σ Arbeit p.Tag]]&lt;=9,Tabelle1[[#This Row],[Σ Arbeit p.Tag]]&gt;6,Tabelle1[[#This Row],[Σ Pause p.Tag]]&lt;Basisdaten!$D$13))</f>
        <v>0</v>
      </c>
      <c r="T36" s="86" t="b">
        <f>(Tabelle1[[#This Row],[Σ Arbeit p.Tag]]&gt;Basisdaten!$D$12)</f>
        <v>0</v>
      </c>
    </row>
    <row r="37" spans="1:20" x14ac:dyDescent="0.15">
      <c r="A37" s="7" t="str">
        <f>IF(Tabelle1[[#This Row],[Tag]]=0,"",
IF(WEEKDAY(B37)=1,"So",
IF(WEEKDAY(B37)=2,"Mo",
IF(WEEKDAY(B37)=3,"Di",
IF(WEEKDAY(B37)=4,"Mi",
IF(WEEKDAY(B37)=5,"Do",
IF(WEEKDAY(B37)=6,"Fr",
IF(WEEKDAY(B37)=7,"Sa"))))))))</f>
        <v/>
      </c>
      <c r="B37" s="8"/>
      <c r="C37" s="9"/>
      <c r="D37" s="10"/>
      <c r="E37" s="9"/>
      <c r="F37" s="10"/>
      <c r="G37" s="97">
        <f t="shared" si="4"/>
        <v>0</v>
      </c>
      <c r="H37" s="94">
        <f>SUMIF(Tabelle1[Tag],Tabelle1[[#This Row],[Tag]],Tabelle1[Stunden])</f>
        <v>0</v>
      </c>
      <c r="I37" s="94" cm="1">
        <f t="array" ref="I37">24*(MAX(IF(EXACT(Tabelle1[Tag],Tabelle1[[#This Row],[Tag]]),Tabelle1[Ende]))
-MIN(IF(EXACT(Tabelle1[Tag],Tabelle1[[#This Row],[Tag]]),Tabelle1[Start])))
-SUMIF(Tabelle1[Tag],Tabelle1[[#This Row],[Tag]],Tabelle1[Stunden])</f>
        <v>0</v>
      </c>
      <c r="J37" s="11"/>
      <c r="K37" s="15"/>
      <c r="L37" s="54"/>
      <c r="M37" s="55" t="str">
        <f>IF(J37&lt;&gt;0,VLOOKUP(J37,Basisdaten!$B$19:$E$26,3,),"")</f>
        <v/>
      </c>
      <c r="N37" s="14" t="str">
        <f>IF(AND(J37&lt;&gt;0,M37="ja"),VLOOKUP(J37,Basisdaten!$B$19:$E$26,4,),"")</f>
        <v/>
      </c>
      <c r="O37" s="14" t="str">
        <f t="shared" si="1"/>
        <v/>
      </c>
      <c r="P37" s="13">
        <f t="shared" si="2"/>
        <v>1</v>
      </c>
      <c r="Q37" s="86">
        <f>TIME(Tabelle1[[#This Row],[Std. Start]],Tabelle1[[#This Row],[Min. Start]],)</f>
        <v>0</v>
      </c>
      <c r="R37" s="86">
        <f>TIME(Tabelle1[[#This Row],[Std. Ende]],Tabelle1[[#This Row],[Min. Ende]],)</f>
        <v>0</v>
      </c>
      <c r="S37" s="86" t="b">
        <f>OR(AND(Tabelle1[[#This Row],[Σ Arbeit p.Tag]]&gt;9,Tabelle1[[#This Row],[Σ Pause p.Tag]]&lt;Basisdaten!$D$14),AND(Tabelle1[[#This Row],[Σ Arbeit p.Tag]]&lt;=9,Tabelle1[[#This Row],[Σ Arbeit p.Tag]]&gt;6,Tabelle1[[#This Row],[Σ Pause p.Tag]]&lt;Basisdaten!$D$13))</f>
        <v>0</v>
      </c>
      <c r="T37" s="86" t="b">
        <f>(Tabelle1[[#This Row],[Σ Arbeit p.Tag]]&gt;Basisdaten!$D$12)</f>
        <v>0</v>
      </c>
    </row>
    <row r="38" spans="1:20" x14ac:dyDescent="0.15">
      <c r="A38" s="7" t="str">
        <f>IF(Tabelle1[[#This Row],[Tag]]=0,"",
IF(WEEKDAY(B38)=1,"So",
IF(WEEKDAY(B38)=2,"Mo",
IF(WEEKDAY(B38)=3,"Di",
IF(WEEKDAY(B38)=4,"Mi",
IF(WEEKDAY(B38)=5,"Do",
IF(WEEKDAY(B38)=6,"Fr",
IF(WEEKDAY(B38)=7,"Sa"))))))))</f>
        <v/>
      </c>
      <c r="B38" s="8"/>
      <c r="C38" s="9"/>
      <c r="D38" s="10"/>
      <c r="E38" s="9"/>
      <c r="F38" s="10"/>
      <c r="G38" s="97">
        <f t="shared" si="4"/>
        <v>0</v>
      </c>
      <c r="H38" s="94">
        <f>SUMIF(Tabelle1[Tag],Tabelle1[[#This Row],[Tag]],Tabelle1[Stunden])</f>
        <v>0</v>
      </c>
      <c r="I38" s="94" cm="1">
        <f t="array" ref="I38">24*(MAX(IF(EXACT(Tabelle1[Tag],Tabelle1[[#This Row],[Tag]]),Tabelle1[Ende]))
-MIN(IF(EXACT(Tabelle1[Tag],Tabelle1[[#This Row],[Tag]]),Tabelle1[Start])))
-SUMIF(Tabelle1[Tag],Tabelle1[[#This Row],[Tag]],Tabelle1[Stunden])</f>
        <v>0</v>
      </c>
      <c r="J38" s="11"/>
      <c r="K38" s="15"/>
      <c r="L38" s="54"/>
      <c r="M38" s="55" t="str">
        <f>IF(J38&lt;&gt;0,VLOOKUP(J38,Basisdaten!$B$19:$E$26,3,),"")</f>
        <v/>
      </c>
      <c r="N38" s="14" t="str">
        <f>IF(AND(J38&lt;&gt;0,M38="ja"),VLOOKUP(J38,Basisdaten!$B$19:$E$26,4,),"")</f>
        <v/>
      </c>
      <c r="O38" s="14" t="str">
        <f t="shared" si="1"/>
        <v/>
      </c>
      <c r="P38" s="13">
        <f t="shared" si="2"/>
        <v>1</v>
      </c>
      <c r="Q38" s="86">
        <f>TIME(Tabelle1[[#This Row],[Std. Start]],Tabelle1[[#This Row],[Min. Start]],)</f>
        <v>0</v>
      </c>
      <c r="R38" s="86">
        <f>TIME(Tabelle1[[#This Row],[Std. Ende]],Tabelle1[[#This Row],[Min. Ende]],)</f>
        <v>0</v>
      </c>
      <c r="S38" s="86" t="b">
        <f>OR(AND(Tabelle1[[#This Row],[Σ Arbeit p.Tag]]&gt;9,Tabelle1[[#This Row],[Σ Pause p.Tag]]&lt;Basisdaten!$D$14),AND(Tabelle1[[#This Row],[Σ Arbeit p.Tag]]&lt;=9,Tabelle1[[#This Row],[Σ Arbeit p.Tag]]&gt;6,Tabelle1[[#This Row],[Σ Pause p.Tag]]&lt;Basisdaten!$D$13))</f>
        <v>0</v>
      </c>
      <c r="T38" s="86" t="b">
        <f>(Tabelle1[[#This Row],[Σ Arbeit p.Tag]]&gt;Basisdaten!$D$12)</f>
        <v>0</v>
      </c>
    </row>
    <row r="39" spans="1:20" x14ac:dyDescent="0.15">
      <c r="A39" s="7" t="str">
        <f>IF(Tabelle1[[#This Row],[Tag]]=0,"",
IF(WEEKDAY(B39)=1,"So",
IF(WEEKDAY(B39)=2,"Mo",
IF(WEEKDAY(B39)=3,"Di",
IF(WEEKDAY(B39)=4,"Mi",
IF(WEEKDAY(B39)=5,"Do",
IF(WEEKDAY(B39)=6,"Fr",
IF(WEEKDAY(B39)=7,"Sa"))))))))</f>
        <v/>
      </c>
      <c r="B39" s="8"/>
      <c r="C39" s="9"/>
      <c r="D39" s="10"/>
      <c r="E39" s="9"/>
      <c r="F39" s="10"/>
      <c r="G39" s="97">
        <f t="shared" si="4"/>
        <v>0</v>
      </c>
      <c r="H39" s="94">
        <f>SUMIF(Tabelle1[Tag],Tabelle1[[#This Row],[Tag]],Tabelle1[Stunden])</f>
        <v>0</v>
      </c>
      <c r="I39" s="94" cm="1">
        <f t="array" ref="I39">24*(MAX(IF(EXACT(Tabelle1[Tag],Tabelle1[[#This Row],[Tag]]),Tabelle1[Ende]))
-MIN(IF(EXACT(Tabelle1[Tag],Tabelle1[[#This Row],[Tag]]),Tabelle1[Start])))
-SUMIF(Tabelle1[Tag],Tabelle1[[#This Row],[Tag]],Tabelle1[Stunden])</f>
        <v>0</v>
      </c>
      <c r="J39" s="11"/>
      <c r="K39" s="15"/>
      <c r="L39" s="54"/>
      <c r="M39" s="55" t="str">
        <f>IF(J39&lt;&gt;0,VLOOKUP(J39,Basisdaten!$B$19:$E$26,3,),"")</f>
        <v/>
      </c>
      <c r="N39" s="14" t="str">
        <f>IF(AND(J39&lt;&gt;0,M39="ja"),VLOOKUP(J39,Basisdaten!$B$19:$E$26,4,),"")</f>
        <v/>
      </c>
      <c r="O39" s="14" t="str">
        <f t="shared" si="1"/>
        <v/>
      </c>
      <c r="P39" s="13">
        <f t="shared" si="2"/>
        <v>1</v>
      </c>
      <c r="Q39" s="86">
        <f>TIME(Tabelle1[[#This Row],[Std. Start]],Tabelle1[[#This Row],[Min. Start]],)</f>
        <v>0</v>
      </c>
      <c r="R39" s="86">
        <f>TIME(Tabelle1[[#This Row],[Std. Ende]],Tabelle1[[#This Row],[Min. Ende]],)</f>
        <v>0</v>
      </c>
      <c r="S39" s="86" t="b">
        <f>OR(AND(Tabelle1[[#This Row],[Σ Arbeit p.Tag]]&gt;9,Tabelle1[[#This Row],[Σ Pause p.Tag]]&lt;Basisdaten!$D$14),AND(Tabelle1[[#This Row],[Σ Arbeit p.Tag]]&lt;=9,Tabelle1[[#This Row],[Σ Arbeit p.Tag]]&gt;6,Tabelle1[[#This Row],[Σ Pause p.Tag]]&lt;Basisdaten!$D$13))</f>
        <v>0</v>
      </c>
      <c r="T39" s="86" t="b">
        <f>(Tabelle1[[#This Row],[Σ Arbeit p.Tag]]&gt;Basisdaten!$D$12)</f>
        <v>0</v>
      </c>
    </row>
    <row r="40" spans="1:20" x14ac:dyDescent="0.15">
      <c r="A40" s="7" t="str">
        <f>IF(Tabelle1[[#This Row],[Tag]]=0,"",
IF(WEEKDAY(B40)=1,"So",
IF(WEEKDAY(B40)=2,"Mo",
IF(WEEKDAY(B40)=3,"Di",
IF(WEEKDAY(B40)=4,"Mi",
IF(WEEKDAY(B40)=5,"Do",
IF(WEEKDAY(B40)=6,"Fr",
IF(WEEKDAY(B40)=7,"Sa"))))))))</f>
        <v/>
      </c>
      <c r="B40" s="8"/>
      <c r="C40" s="9"/>
      <c r="D40" s="10"/>
      <c r="E40" s="9"/>
      <c r="F40" s="10"/>
      <c r="G40" s="97">
        <f t="shared" si="4"/>
        <v>0</v>
      </c>
      <c r="H40" s="94">
        <f>SUMIF(Tabelle1[Tag],Tabelle1[[#This Row],[Tag]],Tabelle1[Stunden])</f>
        <v>0</v>
      </c>
      <c r="I40" s="94" cm="1">
        <f t="array" ref="I40">24*(MAX(IF(EXACT(Tabelle1[Tag],Tabelle1[[#This Row],[Tag]]),Tabelle1[Ende]))
-MIN(IF(EXACT(Tabelle1[Tag],Tabelle1[[#This Row],[Tag]]),Tabelle1[Start])))
-SUMIF(Tabelle1[Tag],Tabelle1[[#This Row],[Tag]],Tabelle1[Stunden])</f>
        <v>0</v>
      </c>
      <c r="J40" s="11"/>
      <c r="K40" s="15"/>
      <c r="L40" s="54"/>
      <c r="M40" s="55" t="str">
        <f>IF(J40&lt;&gt;0,VLOOKUP(J40,Basisdaten!$B$19:$E$26,3,),"")</f>
        <v/>
      </c>
      <c r="N40" s="14" t="str">
        <f>IF(AND(J40&lt;&gt;0,M40="ja"),VLOOKUP(J40,Basisdaten!$B$19:$E$26,4,),"")</f>
        <v/>
      </c>
      <c r="O40" s="14" t="str">
        <f t="shared" ref="O40:O71" si="5">IF(M40="ja",N40*G40,"")</f>
        <v/>
      </c>
      <c r="P40" s="13">
        <f t="shared" si="2"/>
        <v>1</v>
      </c>
      <c r="Q40" s="86">
        <f>TIME(Tabelle1[[#This Row],[Std. Start]],Tabelle1[[#This Row],[Min. Start]],)</f>
        <v>0</v>
      </c>
      <c r="R40" s="86">
        <f>TIME(Tabelle1[[#This Row],[Std. Ende]],Tabelle1[[#This Row],[Min. Ende]],)</f>
        <v>0</v>
      </c>
      <c r="S40" s="86" t="b">
        <f>OR(AND(Tabelle1[[#This Row],[Σ Arbeit p.Tag]]&gt;9,Tabelle1[[#This Row],[Σ Pause p.Tag]]&lt;Basisdaten!$D$14),AND(Tabelle1[[#This Row],[Σ Arbeit p.Tag]]&lt;=9,Tabelle1[[#This Row],[Σ Arbeit p.Tag]]&gt;6,Tabelle1[[#This Row],[Σ Pause p.Tag]]&lt;Basisdaten!$D$13))</f>
        <v>0</v>
      </c>
      <c r="T40" s="86" t="b">
        <f>(Tabelle1[[#This Row],[Σ Arbeit p.Tag]]&gt;Basisdaten!$D$12)</f>
        <v>0</v>
      </c>
    </row>
    <row r="41" spans="1:20" x14ac:dyDescent="0.15">
      <c r="A41" s="7" t="str">
        <f>IF(Tabelle1[[#This Row],[Tag]]=0,"",
IF(WEEKDAY(B41)=1,"So",
IF(WEEKDAY(B41)=2,"Mo",
IF(WEEKDAY(B41)=3,"Di",
IF(WEEKDAY(B41)=4,"Mi",
IF(WEEKDAY(B41)=5,"Do",
IF(WEEKDAY(B41)=6,"Fr",
IF(WEEKDAY(B41)=7,"Sa"))))))))</f>
        <v/>
      </c>
      <c r="B41" s="8"/>
      <c r="C41" s="9"/>
      <c r="D41" s="10"/>
      <c r="E41" s="9"/>
      <c r="F41" s="10"/>
      <c r="G41" s="97">
        <f t="shared" si="4"/>
        <v>0</v>
      </c>
      <c r="H41" s="94">
        <f>SUMIF(Tabelle1[Tag],Tabelle1[[#This Row],[Tag]],Tabelle1[Stunden])</f>
        <v>0</v>
      </c>
      <c r="I41" s="94" cm="1">
        <f t="array" ref="I41">24*(MAX(IF(EXACT(Tabelle1[Tag],Tabelle1[[#This Row],[Tag]]),Tabelle1[Ende]))
-MIN(IF(EXACT(Tabelle1[Tag],Tabelle1[[#This Row],[Tag]]),Tabelle1[Start])))
-SUMIF(Tabelle1[Tag],Tabelle1[[#This Row],[Tag]],Tabelle1[Stunden])</f>
        <v>0</v>
      </c>
      <c r="J41" s="11"/>
      <c r="K41" s="15"/>
      <c r="L41" s="54"/>
      <c r="M41" s="55" t="str">
        <f>IF(J41&lt;&gt;0,VLOOKUP(J41,Basisdaten!$B$19:$E$26,3,),"")</f>
        <v/>
      </c>
      <c r="N41" s="14" t="str">
        <f>IF(AND(J41&lt;&gt;0,M41="ja"),VLOOKUP(J41,Basisdaten!$B$19:$E$26,4,),"")</f>
        <v/>
      </c>
      <c r="O41" s="14" t="str">
        <f t="shared" si="5"/>
        <v/>
      </c>
      <c r="P41" s="13">
        <f t="shared" si="2"/>
        <v>1</v>
      </c>
      <c r="Q41" s="86">
        <f>TIME(Tabelle1[[#This Row],[Std. Start]],Tabelle1[[#This Row],[Min. Start]],)</f>
        <v>0</v>
      </c>
      <c r="R41" s="86">
        <f>TIME(Tabelle1[[#This Row],[Std. Ende]],Tabelle1[[#This Row],[Min. Ende]],)</f>
        <v>0</v>
      </c>
      <c r="S41" s="86" t="b">
        <f>OR(AND(Tabelle1[[#This Row],[Σ Arbeit p.Tag]]&gt;9,Tabelle1[[#This Row],[Σ Pause p.Tag]]&lt;Basisdaten!$D$14),AND(Tabelle1[[#This Row],[Σ Arbeit p.Tag]]&lt;=9,Tabelle1[[#This Row],[Σ Arbeit p.Tag]]&gt;6,Tabelle1[[#This Row],[Σ Pause p.Tag]]&lt;Basisdaten!$D$13))</f>
        <v>0</v>
      </c>
      <c r="T41" s="86" t="b">
        <f>(Tabelle1[[#This Row],[Σ Arbeit p.Tag]]&gt;Basisdaten!$D$12)</f>
        <v>0</v>
      </c>
    </row>
    <row r="42" spans="1:20" x14ac:dyDescent="0.15">
      <c r="A42" s="7" t="str">
        <f>IF(Tabelle1[[#This Row],[Tag]]=0,"",
IF(WEEKDAY(B42)=1,"So",
IF(WEEKDAY(B42)=2,"Mo",
IF(WEEKDAY(B42)=3,"Di",
IF(WEEKDAY(B42)=4,"Mi",
IF(WEEKDAY(B42)=5,"Do",
IF(WEEKDAY(B42)=6,"Fr",
IF(WEEKDAY(B42)=7,"Sa"))))))))</f>
        <v/>
      </c>
      <c r="B42" s="8"/>
      <c r="C42" s="9"/>
      <c r="D42" s="10"/>
      <c r="E42" s="9"/>
      <c r="F42" s="10"/>
      <c r="G42" s="97">
        <f t="shared" si="4"/>
        <v>0</v>
      </c>
      <c r="H42" s="94">
        <f>SUMIF(Tabelle1[Tag],Tabelle1[[#This Row],[Tag]],Tabelle1[Stunden])</f>
        <v>0</v>
      </c>
      <c r="I42" s="94" cm="1">
        <f t="array" ref="I42">24*(MAX(IF(EXACT(Tabelle1[Tag],Tabelle1[[#This Row],[Tag]]),Tabelle1[Ende]))
-MIN(IF(EXACT(Tabelle1[Tag],Tabelle1[[#This Row],[Tag]]),Tabelle1[Start])))
-SUMIF(Tabelle1[Tag],Tabelle1[[#This Row],[Tag]],Tabelle1[Stunden])</f>
        <v>0</v>
      </c>
      <c r="J42" s="11"/>
      <c r="K42" s="15"/>
      <c r="L42" s="54"/>
      <c r="M42" s="55" t="str">
        <f>IF(J42&lt;&gt;0,VLOOKUP(J42,Basisdaten!$B$19:$E$26,3,),"")</f>
        <v/>
      </c>
      <c r="N42" s="14" t="str">
        <f>IF(AND(J42&lt;&gt;0,M42="ja"),VLOOKUP(J42,Basisdaten!$B$19:$E$26,4,),"")</f>
        <v/>
      </c>
      <c r="O42" s="14" t="str">
        <f t="shared" si="5"/>
        <v/>
      </c>
      <c r="P42" s="13">
        <f t="shared" ref="P42:P73" si="6">MONTH(B42)</f>
        <v>1</v>
      </c>
      <c r="Q42" s="86">
        <f>TIME(Tabelle1[[#This Row],[Std. Start]],Tabelle1[[#This Row],[Min. Start]],)</f>
        <v>0</v>
      </c>
      <c r="R42" s="86">
        <f>TIME(Tabelle1[[#This Row],[Std. Ende]],Tabelle1[[#This Row],[Min. Ende]],)</f>
        <v>0</v>
      </c>
      <c r="S42" s="86" t="b">
        <f>OR(AND(Tabelle1[[#This Row],[Σ Arbeit p.Tag]]&gt;9,Tabelle1[[#This Row],[Σ Pause p.Tag]]&lt;Basisdaten!$D$14),AND(Tabelle1[[#This Row],[Σ Arbeit p.Tag]]&lt;=9,Tabelle1[[#This Row],[Σ Arbeit p.Tag]]&gt;6,Tabelle1[[#This Row],[Σ Pause p.Tag]]&lt;Basisdaten!$D$13))</f>
        <v>0</v>
      </c>
      <c r="T42" s="86" t="b">
        <f>(Tabelle1[[#This Row],[Σ Arbeit p.Tag]]&gt;Basisdaten!$D$12)</f>
        <v>0</v>
      </c>
    </row>
    <row r="43" spans="1:20" x14ac:dyDescent="0.15">
      <c r="A43" s="7" t="str">
        <f>IF(Tabelle1[[#This Row],[Tag]]=0,"",
IF(WEEKDAY(B43)=1,"So",
IF(WEEKDAY(B43)=2,"Mo",
IF(WEEKDAY(B43)=3,"Di",
IF(WEEKDAY(B43)=4,"Mi",
IF(WEEKDAY(B43)=5,"Do",
IF(WEEKDAY(B43)=6,"Fr",
IF(WEEKDAY(B43)=7,"Sa"))))))))</f>
        <v/>
      </c>
      <c r="B43" s="8"/>
      <c r="C43" s="9"/>
      <c r="D43" s="10"/>
      <c r="E43" s="9"/>
      <c r="F43" s="10"/>
      <c r="G43" s="97">
        <f t="shared" si="4"/>
        <v>0</v>
      </c>
      <c r="H43" s="94">
        <f>SUMIF(Tabelle1[Tag],Tabelle1[[#This Row],[Tag]],Tabelle1[Stunden])</f>
        <v>0</v>
      </c>
      <c r="I43" s="94" cm="1">
        <f t="array" ref="I43">24*(MAX(IF(EXACT(Tabelle1[Tag],Tabelle1[[#This Row],[Tag]]),Tabelle1[Ende]))
-MIN(IF(EXACT(Tabelle1[Tag],Tabelle1[[#This Row],[Tag]]),Tabelle1[Start])))
-SUMIF(Tabelle1[Tag],Tabelle1[[#This Row],[Tag]],Tabelle1[Stunden])</f>
        <v>0</v>
      </c>
      <c r="J43" s="11"/>
      <c r="K43" s="15"/>
      <c r="L43" s="54"/>
      <c r="M43" s="55" t="str">
        <f>IF(J43&lt;&gt;0,VLOOKUP(J43,Basisdaten!$B$19:$E$26,3,),"")</f>
        <v/>
      </c>
      <c r="N43" s="14" t="str">
        <f>IF(AND(J43&lt;&gt;0,M43="ja"),VLOOKUP(J43,Basisdaten!$B$19:$E$26,4,),"")</f>
        <v/>
      </c>
      <c r="O43" s="14" t="str">
        <f t="shared" si="5"/>
        <v/>
      </c>
      <c r="P43" s="13">
        <f t="shared" si="6"/>
        <v>1</v>
      </c>
      <c r="Q43" s="86">
        <f>TIME(Tabelle1[[#This Row],[Std. Start]],Tabelle1[[#This Row],[Min. Start]],)</f>
        <v>0</v>
      </c>
      <c r="R43" s="86">
        <f>TIME(Tabelle1[[#This Row],[Std. Ende]],Tabelle1[[#This Row],[Min. Ende]],)</f>
        <v>0</v>
      </c>
      <c r="S43" s="86" t="b">
        <f>OR(AND(Tabelle1[[#This Row],[Σ Arbeit p.Tag]]&gt;9,Tabelle1[[#This Row],[Σ Pause p.Tag]]&lt;Basisdaten!$D$14),AND(Tabelle1[[#This Row],[Σ Arbeit p.Tag]]&lt;=9,Tabelle1[[#This Row],[Σ Arbeit p.Tag]]&gt;6,Tabelle1[[#This Row],[Σ Pause p.Tag]]&lt;Basisdaten!$D$13))</f>
        <v>0</v>
      </c>
      <c r="T43" s="86" t="b">
        <f>(Tabelle1[[#This Row],[Σ Arbeit p.Tag]]&gt;Basisdaten!$D$12)</f>
        <v>0</v>
      </c>
    </row>
    <row r="44" spans="1:20" x14ac:dyDescent="0.15">
      <c r="A44" s="7" t="str">
        <f>IF(Tabelle1[[#This Row],[Tag]]=0,"",
IF(WEEKDAY(B44)=1,"So",
IF(WEEKDAY(B44)=2,"Mo",
IF(WEEKDAY(B44)=3,"Di",
IF(WEEKDAY(B44)=4,"Mi",
IF(WEEKDAY(B44)=5,"Do",
IF(WEEKDAY(B44)=6,"Fr",
IF(WEEKDAY(B44)=7,"Sa"))))))))</f>
        <v/>
      </c>
      <c r="B44" s="8"/>
      <c r="C44" s="9"/>
      <c r="D44" s="10"/>
      <c r="E44" s="9"/>
      <c r="F44" s="10"/>
      <c r="G44" s="97">
        <f t="shared" si="4"/>
        <v>0</v>
      </c>
      <c r="H44" s="94">
        <f>SUMIF(Tabelle1[Tag],Tabelle1[[#This Row],[Tag]],Tabelle1[Stunden])</f>
        <v>0</v>
      </c>
      <c r="I44" s="94" cm="1">
        <f t="array" ref="I44">24*(MAX(IF(EXACT(Tabelle1[Tag],Tabelle1[[#This Row],[Tag]]),Tabelle1[Ende]))
-MIN(IF(EXACT(Tabelle1[Tag],Tabelle1[[#This Row],[Tag]]),Tabelle1[Start])))
-SUMIF(Tabelle1[Tag],Tabelle1[[#This Row],[Tag]],Tabelle1[Stunden])</f>
        <v>0</v>
      </c>
      <c r="J44" s="11"/>
      <c r="K44" s="15"/>
      <c r="L44" s="54"/>
      <c r="M44" s="55" t="str">
        <f>IF(J44&lt;&gt;0,VLOOKUP(J44,Basisdaten!$B$19:$E$26,3,),"")</f>
        <v/>
      </c>
      <c r="N44" s="14" t="str">
        <f>IF(AND(J44&lt;&gt;0,M44="ja"),VLOOKUP(J44,Basisdaten!$B$19:$E$26,4,),"")</f>
        <v/>
      </c>
      <c r="O44" s="14" t="str">
        <f t="shared" si="5"/>
        <v/>
      </c>
      <c r="P44" s="13">
        <f t="shared" si="6"/>
        <v>1</v>
      </c>
      <c r="Q44" s="86">
        <f>TIME(Tabelle1[[#This Row],[Std. Start]],Tabelle1[[#This Row],[Min. Start]],)</f>
        <v>0</v>
      </c>
      <c r="R44" s="86">
        <f>TIME(Tabelle1[[#This Row],[Std. Ende]],Tabelle1[[#This Row],[Min. Ende]],)</f>
        <v>0</v>
      </c>
      <c r="S44" s="86" t="b">
        <f>OR(AND(Tabelle1[[#This Row],[Σ Arbeit p.Tag]]&gt;9,Tabelle1[[#This Row],[Σ Pause p.Tag]]&lt;Basisdaten!$D$14),AND(Tabelle1[[#This Row],[Σ Arbeit p.Tag]]&lt;=9,Tabelle1[[#This Row],[Σ Arbeit p.Tag]]&gt;6,Tabelle1[[#This Row],[Σ Pause p.Tag]]&lt;Basisdaten!$D$13))</f>
        <v>0</v>
      </c>
      <c r="T44" s="86" t="b">
        <f>(Tabelle1[[#This Row],[Σ Arbeit p.Tag]]&gt;Basisdaten!$D$12)</f>
        <v>0</v>
      </c>
    </row>
    <row r="45" spans="1:20" x14ac:dyDescent="0.15">
      <c r="A45" s="7" t="str">
        <f>IF(Tabelle1[[#This Row],[Tag]]=0,"",
IF(WEEKDAY(B45)=1,"So",
IF(WEEKDAY(B45)=2,"Mo",
IF(WEEKDAY(B45)=3,"Di",
IF(WEEKDAY(B45)=4,"Mi",
IF(WEEKDAY(B45)=5,"Do",
IF(WEEKDAY(B45)=6,"Fr",
IF(WEEKDAY(B45)=7,"Sa"))))))))</f>
        <v/>
      </c>
      <c r="B45" s="8"/>
      <c r="C45" s="9"/>
      <c r="D45" s="10"/>
      <c r="E45" s="9"/>
      <c r="F45" s="10"/>
      <c r="G45" s="97">
        <f t="shared" si="4"/>
        <v>0</v>
      </c>
      <c r="H45" s="94">
        <f>SUMIF(Tabelle1[Tag],Tabelle1[[#This Row],[Tag]],Tabelle1[Stunden])</f>
        <v>0</v>
      </c>
      <c r="I45" s="94" cm="1">
        <f t="array" ref="I45">24*(MAX(IF(EXACT(Tabelle1[Tag],Tabelle1[[#This Row],[Tag]]),Tabelle1[Ende]))
-MIN(IF(EXACT(Tabelle1[Tag],Tabelle1[[#This Row],[Tag]]),Tabelle1[Start])))
-SUMIF(Tabelle1[Tag],Tabelle1[[#This Row],[Tag]],Tabelle1[Stunden])</f>
        <v>0</v>
      </c>
      <c r="J45" s="11"/>
      <c r="K45" s="15"/>
      <c r="L45" s="54"/>
      <c r="M45" s="55" t="str">
        <f>IF(J45&lt;&gt;0,VLOOKUP(J45,Basisdaten!$B$19:$E$26,3,),"")</f>
        <v/>
      </c>
      <c r="N45" s="14" t="str">
        <f>IF(AND(J45&lt;&gt;0,M45="ja"),VLOOKUP(J45,Basisdaten!$B$19:$E$26,4,),"")</f>
        <v/>
      </c>
      <c r="O45" s="14" t="str">
        <f t="shared" si="5"/>
        <v/>
      </c>
      <c r="P45" s="13">
        <f t="shared" si="6"/>
        <v>1</v>
      </c>
      <c r="Q45" s="86">
        <f>TIME(Tabelle1[[#This Row],[Std. Start]],Tabelle1[[#This Row],[Min. Start]],)</f>
        <v>0</v>
      </c>
      <c r="R45" s="86">
        <f>TIME(Tabelle1[[#This Row],[Std. Ende]],Tabelle1[[#This Row],[Min. Ende]],)</f>
        <v>0</v>
      </c>
      <c r="S45" s="86" t="b">
        <f>OR(AND(Tabelle1[[#This Row],[Σ Arbeit p.Tag]]&gt;9,Tabelle1[[#This Row],[Σ Pause p.Tag]]&lt;Basisdaten!$D$14),AND(Tabelle1[[#This Row],[Σ Arbeit p.Tag]]&lt;=9,Tabelle1[[#This Row],[Σ Arbeit p.Tag]]&gt;6,Tabelle1[[#This Row],[Σ Pause p.Tag]]&lt;Basisdaten!$D$13))</f>
        <v>0</v>
      </c>
      <c r="T45" s="86" t="b">
        <f>(Tabelle1[[#This Row],[Σ Arbeit p.Tag]]&gt;Basisdaten!$D$12)</f>
        <v>0</v>
      </c>
    </row>
    <row r="46" spans="1:20" x14ac:dyDescent="0.15">
      <c r="A46" s="7" t="str">
        <f>IF(Tabelle1[[#This Row],[Tag]]=0,"",
IF(WEEKDAY(B46)=1,"So",
IF(WEEKDAY(B46)=2,"Mo",
IF(WEEKDAY(B46)=3,"Di",
IF(WEEKDAY(B46)=4,"Mi",
IF(WEEKDAY(B46)=5,"Do",
IF(WEEKDAY(B46)=6,"Fr",
IF(WEEKDAY(B46)=7,"Sa"))))))))</f>
        <v/>
      </c>
      <c r="B46" s="8"/>
      <c r="C46" s="9"/>
      <c r="D46" s="10"/>
      <c r="E46" s="9"/>
      <c r="F46" s="10"/>
      <c r="G46" s="97">
        <f t="shared" si="4"/>
        <v>0</v>
      </c>
      <c r="H46" s="94">
        <f>SUMIF(Tabelle1[Tag],Tabelle1[[#This Row],[Tag]],Tabelle1[Stunden])</f>
        <v>0</v>
      </c>
      <c r="I46" s="94" cm="1">
        <f t="array" ref="I46">24*(MAX(IF(EXACT(Tabelle1[Tag],Tabelle1[[#This Row],[Tag]]),Tabelle1[Ende]))
-MIN(IF(EXACT(Tabelle1[Tag],Tabelle1[[#This Row],[Tag]]),Tabelle1[Start])))
-SUMIF(Tabelle1[Tag],Tabelle1[[#This Row],[Tag]],Tabelle1[Stunden])</f>
        <v>0</v>
      </c>
      <c r="J46" s="11"/>
      <c r="K46" s="15"/>
      <c r="L46" s="54"/>
      <c r="M46" s="55" t="str">
        <f>IF(J46&lt;&gt;0,VLOOKUP(J46,Basisdaten!$B$19:$E$26,3,),"")</f>
        <v/>
      </c>
      <c r="N46" s="14" t="str">
        <f>IF(AND(J46&lt;&gt;0,M46="ja"),VLOOKUP(J46,Basisdaten!$B$19:$E$26,4,),"")</f>
        <v/>
      </c>
      <c r="O46" s="14" t="str">
        <f t="shared" si="5"/>
        <v/>
      </c>
      <c r="P46" s="13">
        <f t="shared" si="6"/>
        <v>1</v>
      </c>
      <c r="Q46" s="86">
        <f>TIME(Tabelle1[[#This Row],[Std. Start]],Tabelle1[[#This Row],[Min. Start]],)</f>
        <v>0</v>
      </c>
      <c r="R46" s="86">
        <f>TIME(Tabelle1[[#This Row],[Std. Ende]],Tabelle1[[#This Row],[Min. Ende]],)</f>
        <v>0</v>
      </c>
      <c r="S46" s="86" t="b">
        <f>OR(AND(Tabelle1[[#This Row],[Σ Arbeit p.Tag]]&gt;9,Tabelle1[[#This Row],[Σ Pause p.Tag]]&lt;Basisdaten!$D$14),AND(Tabelle1[[#This Row],[Σ Arbeit p.Tag]]&lt;=9,Tabelle1[[#This Row],[Σ Arbeit p.Tag]]&gt;6,Tabelle1[[#This Row],[Σ Pause p.Tag]]&lt;Basisdaten!$D$13))</f>
        <v>0</v>
      </c>
      <c r="T46" s="86" t="b">
        <f>(Tabelle1[[#This Row],[Σ Arbeit p.Tag]]&gt;Basisdaten!$D$12)</f>
        <v>0</v>
      </c>
    </row>
    <row r="47" spans="1:20" x14ac:dyDescent="0.15">
      <c r="A47" s="7" t="str">
        <f>IF(Tabelle1[[#This Row],[Tag]]=0,"",
IF(WEEKDAY(B47)=1,"So",
IF(WEEKDAY(B47)=2,"Mo",
IF(WEEKDAY(B47)=3,"Di",
IF(WEEKDAY(B47)=4,"Mi",
IF(WEEKDAY(B47)=5,"Do",
IF(WEEKDAY(B47)=6,"Fr",
IF(WEEKDAY(B47)=7,"Sa"))))))))</f>
        <v/>
      </c>
      <c r="B47" s="8"/>
      <c r="C47" s="9"/>
      <c r="D47" s="10"/>
      <c r="E47" s="9"/>
      <c r="F47" s="10"/>
      <c r="G47" s="97">
        <f t="shared" si="4"/>
        <v>0</v>
      </c>
      <c r="H47" s="94">
        <f>SUMIF(Tabelle1[Tag],Tabelle1[[#This Row],[Tag]],Tabelle1[Stunden])</f>
        <v>0</v>
      </c>
      <c r="I47" s="94" cm="1">
        <f t="array" ref="I47">24*(MAX(IF(EXACT(Tabelle1[Tag],Tabelle1[[#This Row],[Tag]]),Tabelle1[Ende]))
-MIN(IF(EXACT(Tabelle1[Tag],Tabelle1[[#This Row],[Tag]]),Tabelle1[Start])))
-SUMIF(Tabelle1[Tag],Tabelle1[[#This Row],[Tag]],Tabelle1[Stunden])</f>
        <v>0</v>
      </c>
      <c r="J47" s="11"/>
      <c r="K47" s="15"/>
      <c r="L47" s="54"/>
      <c r="M47" s="55" t="str">
        <f>IF(J47&lt;&gt;0,VLOOKUP(J47,Basisdaten!$B$19:$E$26,3,),"")</f>
        <v/>
      </c>
      <c r="N47" s="14" t="str">
        <f>IF(AND(J47&lt;&gt;0,M47="ja"),VLOOKUP(J47,Basisdaten!$B$19:$E$26,4,),"")</f>
        <v/>
      </c>
      <c r="O47" s="14" t="str">
        <f t="shared" si="5"/>
        <v/>
      </c>
      <c r="P47" s="13">
        <f t="shared" si="6"/>
        <v>1</v>
      </c>
      <c r="Q47" s="86">
        <f>TIME(Tabelle1[[#This Row],[Std. Start]],Tabelle1[[#This Row],[Min. Start]],)</f>
        <v>0</v>
      </c>
      <c r="R47" s="86">
        <f>TIME(Tabelle1[[#This Row],[Std. Ende]],Tabelle1[[#This Row],[Min. Ende]],)</f>
        <v>0</v>
      </c>
      <c r="S47" s="86" t="b">
        <f>OR(AND(Tabelle1[[#This Row],[Σ Arbeit p.Tag]]&gt;9,Tabelle1[[#This Row],[Σ Pause p.Tag]]&lt;Basisdaten!$D$14),AND(Tabelle1[[#This Row],[Σ Arbeit p.Tag]]&lt;=9,Tabelle1[[#This Row],[Σ Arbeit p.Tag]]&gt;6,Tabelle1[[#This Row],[Σ Pause p.Tag]]&lt;Basisdaten!$D$13))</f>
        <v>0</v>
      </c>
      <c r="T47" s="86" t="b">
        <f>(Tabelle1[[#This Row],[Σ Arbeit p.Tag]]&gt;Basisdaten!$D$12)</f>
        <v>0</v>
      </c>
    </row>
    <row r="48" spans="1:20" x14ac:dyDescent="0.15">
      <c r="A48" s="7" t="str">
        <f>IF(Tabelle1[[#This Row],[Tag]]=0,"",
IF(WEEKDAY(B48)=1,"So",
IF(WEEKDAY(B48)=2,"Mo",
IF(WEEKDAY(B48)=3,"Di",
IF(WEEKDAY(B48)=4,"Mi",
IF(WEEKDAY(B48)=5,"Do",
IF(WEEKDAY(B48)=6,"Fr",
IF(WEEKDAY(B48)=7,"Sa"))))))))</f>
        <v/>
      </c>
      <c r="B48" s="8"/>
      <c r="C48" s="9"/>
      <c r="D48" s="10"/>
      <c r="E48" s="9"/>
      <c r="F48" s="10"/>
      <c r="G48" s="97">
        <f t="shared" si="4"/>
        <v>0</v>
      </c>
      <c r="H48" s="94">
        <f>SUMIF(Tabelle1[Tag],Tabelle1[[#This Row],[Tag]],Tabelle1[Stunden])</f>
        <v>0</v>
      </c>
      <c r="I48" s="94" cm="1">
        <f t="array" ref="I48">24*(MAX(IF(EXACT(Tabelle1[Tag],Tabelle1[[#This Row],[Tag]]),Tabelle1[Ende]))
-MIN(IF(EXACT(Tabelle1[Tag],Tabelle1[[#This Row],[Tag]]),Tabelle1[Start])))
-SUMIF(Tabelle1[Tag],Tabelle1[[#This Row],[Tag]],Tabelle1[Stunden])</f>
        <v>0</v>
      </c>
      <c r="J48" s="11"/>
      <c r="K48" s="15"/>
      <c r="L48" s="54"/>
      <c r="M48" s="55" t="str">
        <f>IF(J48&lt;&gt;0,VLOOKUP(J48,Basisdaten!$B$19:$E$26,3,),"")</f>
        <v/>
      </c>
      <c r="N48" s="14" t="str">
        <f>IF(AND(J48&lt;&gt;0,M48="ja"),VLOOKUP(J48,Basisdaten!$B$19:$E$26,4,),"")</f>
        <v/>
      </c>
      <c r="O48" s="14" t="str">
        <f t="shared" si="5"/>
        <v/>
      </c>
      <c r="P48" s="13">
        <f t="shared" si="6"/>
        <v>1</v>
      </c>
      <c r="Q48" s="86">
        <f>TIME(Tabelle1[[#This Row],[Std. Start]],Tabelle1[[#This Row],[Min. Start]],)</f>
        <v>0</v>
      </c>
      <c r="R48" s="86">
        <f>TIME(Tabelle1[[#This Row],[Std. Ende]],Tabelle1[[#This Row],[Min. Ende]],)</f>
        <v>0</v>
      </c>
      <c r="S48" s="86" t="b">
        <f>OR(AND(Tabelle1[[#This Row],[Σ Arbeit p.Tag]]&gt;9,Tabelle1[[#This Row],[Σ Pause p.Tag]]&lt;Basisdaten!$D$14),AND(Tabelle1[[#This Row],[Σ Arbeit p.Tag]]&lt;=9,Tabelle1[[#This Row],[Σ Arbeit p.Tag]]&gt;6,Tabelle1[[#This Row],[Σ Pause p.Tag]]&lt;Basisdaten!$D$13))</f>
        <v>0</v>
      </c>
      <c r="T48" s="86" t="b">
        <f>(Tabelle1[[#This Row],[Σ Arbeit p.Tag]]&gt;Basisdaten!$D$12)</f>
        <v>0</v>
      </c>
    </row>
    <row r="49" spans="1:20" x14ac:dyDescent="0.15">
      <c r="A49" s="7" t="str">
        <f>IF(Tabelle1[[#This Row],[Tag]]=0,"",
IF(WEEKDAY(B49)=1,"So",
IF(WEEKDAY(B49)=2,"Mo",
IF(WEEKDAY(B49)=3,"Di",
IF(WEEKDAY(B49)=4,"Mi",
IF(WEEKDAY(B49)=5,"Do",
IF(WEEKDAY(B49)=6,"Fr",
IF(WEEKDAY(B49)=7,"Sa"))))))))</f>
        <v/>
      </c>
      <c r="B49" s="8"/>
      <c r="C49" s="9"/>
      <c r="D49" s="10"/>
      <c r="E49" s="9"/>
      <c r="F49" s="10"/>
      <c r="G49" s="97">
        <f t="shared" si="4"/>
        <v>0</v>
      </c>
      <c r="H49" s="94">
        <f>SUMIF(Tabelle1[Tag],Tabelle1[[#This Row],[Tag]],Tabelle1[Stunden])</f>
        <v>0</v>
      </c>
      <c r="I49" s="94" cm="1">
        <f t="array" ref="I49">24*(MAX(IF(EXACT(Tabelle1[Tag],Tabelle1[[#This Row],[Tag]]),Tabelle1[Ende]))
-MIN(IF(EXACT(Tabelle1[Tag],Tabelle1[[#This Row],[Tag]]),Tabelle1[Start])))
-SUMIF(Tabelle1[Tag],Tabelle1[[#This Row],[Tag]],Tabelle1[Stunden])</f>
        <v>0</v>
      </c>
      <c r="J49" s="11"/>
      <c r="K49" s="15"/>
      <c r="L49" s="54"/>
      <c r="M49" s="55" t="str">
        <f>IF(J49&lt;&gt;0,VLOOKUP(J49,Basisdaten!$B$19:$E$26,3,),"")</f>
        <v/>
      </c>
      <c r="N49" s="14" t="str">
        <f>IF(AND(J49&lt;&gt;0,M49="ja"),VLOOKUP(J49,Basisdaten!$B$19:$E$26,4,),"")</f>
        <v/>
      </c>
      <c r="O49" s="14" t="str">
        <f t="shared" si="5"/>
        <v/>
      </c>
      <c r="P49" s="13">
        <f t="shared" si="6"/>
        <v>1</v>
      </c>
      <c r="Q49" s="86">
        <f>TIME(Tabelle1[[#This Row],[Std. Start]],Tabelle1[[#This Row],[Min. Start]],)</f>
        <v>0</v>
      </c>
      <c r="R49" s="86">
        <f>TIME(Tabelle1[[#This Row],[Std. Ende]],Tabelle1[[#This Row],[Min. Ende]],)</f>
        <v>0</v>
      </c>
      <c r="S49" s="86" t="b">
        <f>OR(AND(Tabelle1[[#This Row],[Σ Arbeit p.Tag]]&gt;9,Tabelle1[[#This Row],[Σ Pause p.Tag]]&lt;Basisdaten!$D$14),AND(Tabelle1[[#This Row],[Σ Arbeit p.Tag]]&lt;=9,Tabelle1[[#This Row],[Σ Arbeit p.Tag]]&gt;6,Tabelle1[[#This Row],[Σ Pause p.Tag]]&lt;Basisdaten!$D$13))</f>
        <v>0</v>
      </c>
      <c r="T49" s="86" t="b">
        <f>(Tabelle1[[#This Row],[Σ Arbeit p.Tag]]&gt;Basisdaten!$D$12)</f>
        <v>0</v>
      </c>
    </row>
    <row r="50" spans="1:20" x14ac:dyDescent="0.15">
      <c r="A50" s="7" t="str">
        <f>IF(Tabelle1[[#This Row],[Tag]]=0,"",
IF(WEEKDAY(B50)=1,"So",
IF(WEEKDAY(B50)=2,"Mo",
IF(WEEKDAY(B50)=3,"Di",
IF(WEEKDAY(B50)=4,"Mi",
IF(WEEKDAY(B50)=5,"Do",
IF(WEEKDAY(B50)=6,"Fr",
IF(WEEKDAY(B50)=7,"Sa"))))))))</f>
        <v/>
      </c>
      <c r="B50" s="8"/>
      <c r="C50" s="9"/>
      <c r="D50" s="10"/>
      <c r="E50" s="9"/>
      <c r="F50" s="10"/>
      <c r="G50" s="97">
        <f t="shared" si="4"/>
        <v>0</v>
      </c>
      <c r="H50" s="94">
        <f>SUMIF(Tabelle1[Tag],Tabelle1[[#This Row],[Tag]],Tabelle1[Stunden])</f>
        <v>0</v>
      </c>
      <c r="I50" s="94" cm="1">
        <f t="array" ref="I50">24*(MAX(IF(EXACT(Tabelle1[Tag],Tabelle1[[#This Row],[Tag]]),Tabelle1[Ende]))
-MIN(IF(EXACT(Tabelle1[Tag],Tabelle1[[#This Row],[Tag]]),Tabelle1[Start])))
-SUMIF(Tabelle1[Tag],Tabelle1[[#This Row],[Tag]],Tabelle1[Stunden])</f>
        <v>0</v>
      </c>
      <c r="J50" s="11"/>
      <c r="K50" s="15"/>
      <c r="L50" s="54"/>
      <c r="M50" s="55" t="str">
        <f>IF(J50&lt;&gt;0,VLOOKUP(J50,Basisdaten!$B$19:$E$26,3,),"")</f>
        <v/>
      </c>
      <c r="N50" s="14" t="str">
        <f>IF(AND(J50&lt;&gt;0,M50="ja"),VLOOKUP(J50,Basisdaten!$B$19:$E$26,4,),"")</f>
        <v/>
      </c>
      <c r="O50" s="14" t="str">
        <f t="shared" si="5"/>
        <v/>
      </c>
      <c r="P50" s="13">
        <f t="shared" si="6"/>
        <v>1</v>
      </c>
      <c r="Q50" s="86">
        <f>TIME(Tabelle1[[#This Row],[Std. Start]],Tabelle1[[#This Row],[Min. Start]],)</f>
        <v>0</v>
      </c>
      <c r="R50" s="86">
        <f>TIME(Tabelle1[[#This Row],[Std. Ende]],Tabelle1[[#This Row],[Min. Ende]],)</f>
        <v>0</v>
      </c>
      <c r="S50" s="86" t="b">
        <f>OR(AND(Tabelle1[[#This Row],[Σ Arbeit p.Tag]]&gt;9,Tabelle1[[#This Row],[Σ Pause p.Tag]]&lt;Basisdaten!$D$14),AND(Tabelle1[[#This Row],[Σ Arbeit p.Tag]]&lt;=9,Tabelle1[[#This Row],[Σ Arbeit p.Tag]]&gt;6,Tabelle1[[#This Row],[Σ Pause p.Tag]]&lt;Basisdaten!$D$13))</f>
        <v>0</v>
      </c>
      <c r="T50" s="86" t="b">
        <f>(Tabelle1[[#This Row],[Σ Arbeit p.Tag]]&gt;Basisdaten!$D$12)</f>
        <v>0</v>
      </c>
    </row>
    <row r="51" spans="1:20" x14ac:dyDescent="0.15">
      <c r="A51" s="7" t="str">
        <f>IF(Tabelle1[[#This Row],[Tag]]=0,"",
IF(WEEKDAY(B51)=1,"So",
IF(WEEKDAY(B51)=2,"Mo",
IF(WEEKDAY(B51)=3,"Di",
IF(WEEKDAY(B51)=4,"Mi",
IF(WEEKDAY(B51)=5,"Do",
IF(WEEKDAY(B51)=6,"Fr",
IF(WEEKDAY(B51)=7,"Sa"))))))))</f>
        <v/>
      </c>
      <c r="B51" s="8"/>
      <c r="C51" s="9"/>
      <c r="D51" s="10"/>
      <c r="E51" s="9"/>
      <c r="F51" s="10"/>
      <c r="G51" s="97">
        <f t="shared" si="4"/>
        <v>0</v>
      </c>
      <c r="H51" s="94">
        <f>SUMIF(Tabelle1[Tag],Tabelle1[[#This Row],[Tag]],Tabelle1[Stunden])</f>
        <v>0</v>
      </c>
      <c r="I51" s="94" cm="1">
        <f t="array" ref="I51">24*(MAX(IF(EXACT(Tabelle1[Tag],Tabelle1[[#This Row],[Tag]]),Tabelle1[Ende]))
-MIN(IF(EXACT(Tabelle1[Tag],Tabelle1[[#This Row],[Tag]]),Tabelle1[Start])))
-SUMIF(Tabelle1[Tag],Tabelle1[[#This Row],[Tag]],Tabelle1[Stunden])</f>
        <v>0</v>
      </c>
      <c r="J51" s="11"/>
      <c r="K51" s="15"/>
      <c r="L51" s="54"/>
      <c r="M51" s="55" t="str">
        <f>IF(J51&lt;&gt;0,VLOOKUP(J51,Basisdaten!$B$19:$E$26,3,),"")</f>
        <v/>
      </c>
      <c r="N51" s="14" t="str">
        <f>IF(AND(J51&lt;&gt;0,M51="ja"),VLOOKUP(J51,Basisdaten!$B$19:$E$26,4,),"")</f>
        <v/>
      </c>
      <c r="O51" s="14" t="str">
        <f t="shared" si="5"/>
        <v/>
      </c>
      <c r="P51" s="13">
        <f t="shared" si="6"/>
        <v>1</v>
      </c>
      <c r="Q51" s="86">
        <f>TIME(Tabelle1[[#This Row],[Std. Start]],Tabelle1[[#This Row],[Min. Start]],)</f>
        <v>0</v>
      </c>
      <c r="R51" s="86">
        <f>TIME(Tabelle1[[#This Row],[Std. Ende]],Tabelle1[[#This Row],[Min. Ende]],)</f>
        <v>0</v>
      </c>
      <c r="S51" s="86" t="b">
        <f>OR(AND(Tabelle1[[#This Row],[Σ Arbeit p.Tag]]&gt;9,Tabelle1[[#This Row],[Σ Pause p.Tag]]&lt;Basisdaten!$D$14),AND(Tabelle1[[#This Row],[Σ Arbeit p.Tag]]&lt;=9,Tabelle1[[#This Row],[Σ Arbeit p.Tag]]&gt;6,Tabelle1[[#This Row],[Σ Pause p.Tag]]&lt;Basisdaten!$D$13))</f>
        <v>0</v>
      </c>
      <c r="T51" s="86" t="b">
        <f>(Tabelle1[[#This Row],[Σ Arbeit p.Tag]]&gt;Basisdaten!$D$12)</f>
        <v>0</v>
      </c>
    </row>
    <row r="52" spans="1:20" x14ac:dyDescent="0.15">
      <c r="A52" s="7" t="str">
        <f>IF(Tabelle1[[#This Row],[Tag]]=0,"",
IF(WEEKDAY(B52)=1,"So",
IF(WEEKDAY(B52)=2,"Mo",
IF(WEEKDAY(B52)=3,"Di",
IF(WEEKDAY(B52)=4,"Mi",
IF(WEEKDAY(B52)=5,"Do",
IF(WEEKDAY(B52)=6,"Fr",
IF(WEEKDAY(B52)=7,"Sa"))))))))</f>
        <v/>
      </c>
      <c r="B52" s="8"/>
      <c r="C52" s="9"/>
      <c r="D52" s="10"/>
      <c r="E52" s="9"/>
      <c r="F52" s="10"/>
      <c r="G52" s="97">
        <f t="shared" si="4"/>
        <v>0</v>
      </c>
      <c r="H52" s="94">
        <f>SUMIF(Tabelle1[Tag],Tabelle1[[#This Row],[Tag]],Tabelle1[Stunden])</f>
        <v>0</v>
      </c>
      <c r="I52" s="94" cm="1">
        <f t="array" ref="I52">24*(MAX(IF(EXACT(Tabelle1[Tag],Tabelle1[[#This Row],[Tag]]),Tabelle1[Ende]))
-MIN(IF(EXACT(Tabelle1[Tag],Tabelle1[[#This Row],[Tag]]),Tabelle1[Start])))
-SUMIF(Tabelle1[Tag],Tabelle1[[#This Row],[Tag]],Tabelle1[Stunden])</f>
        <v>0</v>
      </c>
      <c r="J52" s="11"/>
      <c r="K52" s="15"/>
      <c r="L52" s="54"/>
      <c r="M52" s="55" t="str">
        <f>IF(J52&lt;&gt;0,VLOOKUP(J52,Basisdaten!$B$19:$E$26,3,),"")</f>
        <v/>
      </c>
      <c r="N52" s="14" t="str">
        <f>IF(AND(J52&lt;&gt;0,M52="ja"),VLOOKUP(J52,Basisdaten!$B$19:$E$26,4,),"")</f>
        <v/>
      </c>
      <c r="O52" s="14" t="str">
        <f t="shared" si="5"/>
        <v/>
      </c>
      <c r="P52" s="13">
        <f t="shared" si="6"/>
        <v>1</v>
      </c>
      <c r="Q52" s="86">
        <f>TIME(Tabelle1[[#This Row],[Std. Start]],Tabelle1[[#This Row],[Min. Start]],)</f>
        <v>0</v>
      </c>
      <c r="R52" s="86">
        <f>TIME(Tabelle1[[#This Row],[Std. Ende]],Tabelle1[[#This Row],[Min. Ende]],)</f>
        <v>0</v>
      </c>
      <c r="S52" s="86" t="b">
        <f>OR(AND(Tabelle1[[#This Row],[Σ Arbeit p.Tag]]&gt;9,Tabelle1[[#This Row],[Σ Pause p.Tag]]&lt;Basisdaten!$D$14),AND(Tabelle1[[#This Row],[Σ Arbeit p.Tag]]&lt;=9,Tabelle1[[#This Row],[Σ Arbeit p.Tag]]&gt;6,Tabelle1[[#This Row],[Σ Pause p.Tag]]&lt;Basisdaten!$D$13))</f>
        <v>0</v>
      </c>
      <c r="T52" s="86" t="b">
        <f>(Tabelle1[[#This Row],[Σ Arbeit p.Tag]]&gt;Basisdaten!$D$12)</f>
        <v>0</v>
      </c>
    </row>
    <row r="53" spans="1:20" x14ac:dyDescent="0.15">
      <c r="A53" s="7" t="str">
        <f>IF(Tabelle1[[#This Row],[Tag]]=0,"",
IF(WEEKDAY(B53)=1,"So",
IF(WEEKDAY(B53)=2,"Mo",
IF(WEEKDAY(B53)=3,"Di",
IF(WEEKDAY(B53)=4,"Mi",
IF(WEEKDAY(B53)=5,"Do",
IF(WEEKDAY(B53)=6,"Fr",
IF(WEEKDAY(B53)=7,"Sa"))))))))</f>
        <v/>
      </c>
      <c r="B53" s="8"/>
      <c r="C53" s="9"/>
      <c r="D53" s="10"/>
      <c r="E53" s="9"/>
      <c r="F53" s="10"/>
      <c r="G53" s="97">
        <f t="shared" si="4"/>
        <v>0</v>
      </c>
      <c r="H53" s="94">
        <f>SUMIF(Tabelle1[Tag],Tabelle1[[#This Row],[Tag]],Tabelle1[Stunden])</f>
        <v>0</v>
      </c>
      <c r="I53" s="94" cm="1">
        <f t="array" ref="I53">24*(MAX(IF(EXACT(Tabelle1[Tag],Tabelle1[[#This Row],[Tag]]),Tabelle1[Ende]))
-MIN(IF(EXACT(Tabelle1[Tag],Tabelle1[[#This Row],[Tag]]),Tabelle1[Start])))
-SUMIF(Tabelle1[Tag],Tabelle1[[#This Row],[Tag]],Tabelle1[Stunden])</f>
        <v>0</v>
      </c>
      <c r="J53" s="11"/>
      <c r="K53" s="15"/>
      <c r="L53" s="54"/>
      <c r="M53" s="55" t="str">
        <f>IF(J53&lt;&gt;0,VLOOKUP(J53,Basisdaten!$B$19:$E$26,3,),"")</f>
        <v/>
      </c>
      <c r="N53" s="14" t="str">
        <f>IF(AND(J53&lt;&gt;0,M53="ja"),VLOOKUP(J53,Basisdaten!$B$19:$E$26,4,),"")</f>
        <v/>
      </c>
      <c r="O53" s="14" t="str">
        <f t="shared" si="5"/>
        <v/>
      </c>
      <c r="P53" s="13">
        <f t="shared" si="6"/>
        <v>1</v>
      </c>
      <c r="Q53" s="86">
        <f>TIME(Tabelle1[[#This Row],[Std. Start]],Tabelle1[[#This Row],[Min. Start]],)</f>
        <v>0</v>
      </c>
      <c r="R53" s="86">
        <f>TIME(Tabelle1[[#This Row],[Std. Ende]],Tabelle1[[#This Row],[Min. Ende]],)</f>
        <v>0</v>
      </c>
      <c r="S53" s="86" t="b">
        <f>OR(AND(Tabelle1[[#This Row],[Σ Arbeit p.Tag]]&gt;9,Tabelle1[[#This Row],[Σ Pause p.Tag]]&lt;Basisdaten!$D$14),AND(Tabelle1[[#This Row],[Σ Arbeit p.Tag]]&lt;=9,Tabelle1[[#This Row],[Σ Arbeit p.Tag]]&gt;6,Tabelle1[[#This Row],[Σ Pause p.Tag]]&lt;Basisdaten!$D$13))</f>
        <v>0</v>
      </c>
      <c r="T53" s="86" t="b">
        <f>(Tabelle1[[#This Row],[Σ Arbeit p.Tag]]&gt;Basisdaten!$D$12)</f>
        <v>0</v>
      </c>
    </row>
    <row r="54" spans="1:20" x14ac:dyDescent="0.15">
      <c r="A54" s="7" t="str">
        <f>IF(Tabelle1[[#This Row],[Tag]]=0,"",
IF(WEEKDAY(B54)=1,"So",
IF(WEEKDAY(B54)=2,"Mo",
IF(WEEKDAY(B54)=3,"Di",
IF(WEEKDAY(B54)=4,"Mi",
IF(WEEKDAY(B54)=5,"Do",
IF(WEEKDAY(B54)=6,"Fr",
IF(WEEKDAY(B54)=7,"Sa"))))))))</f>
        <v/>
      </c>
      <c r="B54" s="8"/>
      <c r="C54" s="9"/>
      <c r="D54" s="10"/>
      <c r="E54" s="9"/>
      <c r="F54" s="10"/>
      <c r="G54" s="97">
        <f t="shared" si="4"/>
        <v>0</v>
      </c>
      <c r="H54" s="94">
        <f>SUMIF(Tabelle1[Tag],Tabelle1[[#This Row],[Tag]],Tabelle1[Stunden])</f>
        <v>0</v>
      </c>
      <c r="I54" s="94" cm="1">
        <f t="array" ref="I54">24*(MAX(IF(EXACT(Tabelle1[Tag],Tabelle1[[#This Row],[Tag]]),Tabelle1[Ende]))
-MIN(IF(EXACT(Tabelle1[Tag],Tabelle1[[#This Row],[Tag]]),Tabelle1[Start])))
-SUMIF(Tabelle1[Tag],Tabelle1[[#This Row],[Tag]],Tabelle1[Stunden])</f>
        <v>0</v>
      </c>
      <c r="J54" s="11"/>
      <c r="K54" s="15"/>
      <c r="L54" s="54"/>
      <c r="M54" s="55" t="str">
        <f>IF(J54&lt;&gt;0,VLOOKUP(J54,Basisdaten!$B$19:$E$26,3,),"")</f>
        <v/>
      </c>
      <c r="N54" s="14" t="str">
        <f>IF(AND(J54&lt;&gt;0,M54="ja"),VLOOKUP(J54,Basisdaten!$B$19:$E$26,4,),"")</f>
        <v/>
      </c>
      <c r="O54" s="14" t="str">
        <f t="shared" si="5"/>
        <v/>
      </c>
      <c r="P54" s="13">
        <f t="shared" si="6"/>
        <v>1</v>
      </c>
      <c r="Q54" s="86">
        <f>TIME(Tabelle1[[#This Row],[Std. Start]],Tabelle1[[#This Row],[Min. Start]],)</f>
        <v>0</v>
      </c>
      <c r="R54" s="86">
        <f>TIME(Tabelle1[[#This Row],[Std. Ende]],Tabelle1[[#This Row],[Min. Ende]],)</f>
        <v>0</v>
      </c>
      <c r="S54" s="86" t="b">
        <f>OR(AND(Tabelle1[[#This Row],[Σ Arbeit p.Tag]]&gt;9,Tabelle1[[#This Row],[Σ Pause p.Tag]]&lt;Basisdaten!$D$14),AND(Tabelle1[[#This Row],[Σ Arbeit p.Tag]]&lt;=9,Tabelle1[[#This Row],[Σ Arbeit p.Tag]]&gt;6,Tabelle1[[#This Row],[Σ Pause p.Tag]]&lt;Basisdaten!$D$13))</f>
        <v>0</v>
      </c>
      <c r="T54" s="86" t="b">
        <f>(Tabelle1[[#This Row],[Σ Arbeit p.Tag]]&gt;Basisdaten!$D$12)</f>
        <v>0</v>
      </c>
    </row>
    <row r="55" spans="1:20" x14ac:dyDescent="0.15">
      <c r="A55" s="7" t="str">
        <f>IF(Tabelle1[[#This Row],[Tag]]=0,"",
IF(WEEKDAY(B55)=1,"So",
IF(WEEKDAY(B55)=2,"Mo",
IF(WEEKDAY(B55)=3,"Di",
IF(WEEKDAY(B55)=4,"Mi",
IF(WEEKDAY(B55)=5,"Do",
IF(WEEKDAY(B55)=6,"Fr",
IF(WEEKDAY(B55)=7,"Sa"))))))))</f>
        <v/>
      </c>
      <c r="B55" s="8"/>
      <c r="C55" s="9"/>
      <c r="D55" s="10"/>
      <c r="E55" s="9"/>
      <c r="F55" s="10"/>
      <c r="G55" s="97">
        <f t="shared" ref="G55:G70" si="7">ROUND((E55*60+F55-C55*60-D55)/60,2)</f>
        <v>0</v>
      </c>
      <c r="H55" s="94">
        <f>SUMIF(Tabelle1[Tag],Tabelle1[[#This Row],[Tag]],Tabelle1[Stunden])</f>
        <v>0</v>
      </c>
      <c r="I55" s="94" cm="1">
        <f t="array" ref="I55">24*(MAX(IF(EXACT(Tabelle1[Tag],Tabelle1[[#This Row],[Tag]]),Tabelle1[Ende]))
-MIN(IF(EXACT(Tabelle1[Tag],Tabelle1[[#This Row],[Tag]]),Tabelle1[Start])))
-SUMIF(Tabelle1[Tag],Tabelle1[[#This Row],[Tag]],Tabelle1[Stunden])</f>
        <v>0</v>
      </c>
      <c r="J55" s="11"/>
      <c r="K55" s="15"/>
      <c r="L55" s="54"/>
      <c r="M55" s="55" t="str">
        <f>IF(J55&lt;&gt;0,VLOOKUP(J55,Basisdaten!$B$19:$E$26,3,),"")</f>
        <v/>
      </c>
      <c r="N55" s="14" t="str">
        <f>IF(AND(J55&lt;&gt;0,M55="ja"),VLOOKUP(J55,Basisdaten!$B$19:$E$26,4,),"")</f>
        <v/>
      </c>
      <c r="O55" s="14" t="str">
        <f t="shared" si="5"/>
        <v/>
      </c>
      <c r="P55" s="13">
        <f t="shared" si="6"/>
        <v>1</v>
      </c>
      <c r="Q55" s="86">
        <f>TIME(Tabelle1[[#This Row],[Std. Start]],Tabelle1[[#This Row],[Min. Start]],)</f>
        <v>0</v>
      </c>
      <c r="R55" s="86">
        <f>TIME(Tabelle1[[#This Row],[Std. Ende]],Tabelle1[[#This Row],[Min. Ende]],)</f>
        <v>0</v>
      </c>
      <c r="S55" s="86" t="b">
        <f>OR(AND(Tabelle1[[#This Row],[Σ Arbeit p.Tag]]&gt;9,Tabelle1[[#This Row],[Σ Pause p.Tag]]&lt;Basisdaten!$D$14),AND(Tabelle1[[#This Row],[Σ Arbeit p.Tag]]&lt;=9,Tabelle1[[#This Row],[Σ Arbeit p.Tag]]&gt;6,Tabelle1[[#This Row],[Σ Pause p.Tag]]&lt;Basisdaten!$D$13))</f>
        <v>0</v>
      </c>
      <c r="T55" s="86" t="b">
        <f>(Tabelle1[[#This Row],[Σ Arbeit p.Tag]]&gt;Basisdaten!$D$12)</f>
        <v>0</v>
      </c>
    </row>
    <row r="56" spans="1:20" x14ac:dyDescent="0.15">
      <c r="A56" s="7" t="str">
        <f>IF(Tabelle1[[#This Row],[Tag]]=0,"",
IF(WEEKDAY(B56)=1,"So",
IF(WEEKDAY(B56)=2,"Mo",
IF(WEEKDAY(B56)=3,"Di",
IF(WEEKDAY(B56)=4,"Mi",
IF(WEEKDAY(B56)=5,"Do",
IF(WEEKDAY(B56)=6,"Fr",
IF(WEEKDAY(B56)=7,"Sa"))))))))</f>
        <v/>
      </c>
      <c r="B56" s="8"/>
      <c r="C56" s="9"/>
      <c r="D56" s="10"/>
      <c r="E56" s="9"/>
      <c r="F56" s="10"/>
      <c r="G56" s="97">
        <f t="shared" si="7"/>
        <v>0</v>
      </c>
      <c r="H56" s="94">
        <f>SUMIF(Tabelle1[Tag],Tabelle1[[#This Row],[Tag]],Tabelle1[Stunden])</f>
        <v>0</v>
      </c>
      <c r="I56" s="94" cm="1">
        <f t="array" ref="I56">24*(MAX(IF(EXACT(Tabelle1[Tag],Tabelle1[[#This Row],[Tag]]),Tabelle1[Ende]))
-MIN(IF(EXACT(Tabelle1[Tag],Tabelle1[[#This Row],[Tag]]),Tabelle1[Start])))
-SUMIF(Tabelle1[Tag],Tabelle1[[#This Row],[Tag]],Tabelle1[Stunden])</f>
        <v>0</v>
      </c>
      <c r="J56" s="11"/>
      <c r="K56" s="15"/>
      <c r="L56" s="54"/>
      <c r="M56" s="55" t="str">
        <f>IF(J56&lt;&gt;0,VLOOKUP(J56,Basisdaten!$B$19:$E$26,3,),"")</f>
        <v/>
      </c>
      <c r="N56" s="14" t="str">
        <f>IF(AND(J56&lt;&gt;0,M56="ja"),VLOOKUP(J56,Basisdaten!$B$19:$E$26,4,),"")</f>
        <v/>
      </c>
      <c r="O56" s="14" t="str">
        <f t="shared" si="5"/>
        <v/>
      </c>
      <c r="P56" s="13">
        <f t="shared" si="6"/>
        <v>1</v>
      </c>
      <c r="Q56" s="86">
        <f>TIME(Tabelle1[[#This Row],[Std. Start]],Tabelle1[[#This Row],[Min. Start]],)</f>
        <v>0</v>
      </c>
      <c r="R56" s="86">
        <f>TIME(Tabelle1[[#This Row],[Std. Ende]],Tabelle1[[#This Row],[Min. Ende]],)</f>
        <v>0</v>
      </c>
      <c r="S56" s="86" t="b">
        <f>OR(AND(Tabelle1[[#This Row],[Σ Arbeit p.Tag]]&gt;9,Tabelle1[[#This Row],[Σ Pause p.Tag]]&lt;Basisdaten!$D$14),AND(Tabelle1[[#This Row],[Σ Arbeit p.Tag]]&lt;=9,Tabelle1[[#This Row],[Σ Arbeit p.Tag]]&gt;6,Tabelle1[[#This Row],[Σ Pause p.Tag]]&lt;Basisdaten!$D$13))</f>
        <v>0</v>
      </c>
      <c r="T56" s="86" t="b">
        <f>(Tabelle1[[#This Row],[Σ Arbeit p.Tag]]&gt;Basisdaten!$D$12)</f>
        <v>0</v>
      </c>
    </row>
    <row r="57" spans="1:20" x14ac:dyDescent="0.15">
      <c r="A57" s="7" t="str">
        <f>IF(Tabelle1[[#This Row],[Tag]]=0,"",
IF(WEEKDAY(B57)=1,"So",
IF(WEEKDAY(B57)=2,"Mo",
IF(WEEKDAY(B57)=3,"Di",
IF(WEEKDAY(B57)=4,"Mi",
IF(WEEKDAY(B57)=5,"Do",
IF(WEEKDAY(B57)=6,"Fr",
IF(WEEKDAY(B57)=7,"Sa"))))))))</f>
        <v/>
      </c>
      <c r="B57" s="8"/>
      <c r="C57" s="9"/>
      <c r="D57" s="10"/>
      <c r="E57" s="9"/>
      <c r="F57" s="10"/>
      <c r="G57" s="97">
        <f t="shared" si="7"/>
        <v>0</v>
      </c>
      <c r="H57" s="94">
        <f>SUMIF(Tabelle1[Tag],Tabelle1[[#This Row],[Tag]],Tabelle1[Stunden])</f>
        <v>0</v>
      </c>
      <c r="I57" s="94" cm="1">
        <f t="array" ref="I57">24*(MAX(IF(EXACT(Tabelle1[Tag],Tabelle1[[#This Row],[Tag]]),Tabelle1[Ende]))
-MIN(IF(EXACT(Tabelle1[Tag],Tabelle1[[#This Row],[Tag]]),Tabelle1[Start])))
-SUMIF(Tabelle1[Tag],Tabelle1[[#This Row],[Tag]],Tabelle1[Stunden])</f>
        <v>0</v>
      </c>
      <c r="J57" s="11"/>
      <c r="K57" s="15"/>
      <c r="L57" s="54"/>
      <c r="M57" s="55" t="str">
        <f>IF(J57&lt;&gt;0,VLOOKUP(J57,Basisdaten!$B$19:$E$26,3,),"")</f>
        <v/>
      </c>
      <c r="N57" s="14" t="str">
        <f>IF(AND(J57&lt;&gt;0,M57="ja"),VLOOKUP(J57,Basisdaten!$B$19:$E$26,4,),"")</f>
        <v/>
      </c>
      <c r="O57" s="14" t="str">
        <f t="shared" si="5"/>
        <v/>
      </c>
      <c r="P57" s="13">
        <f t="shared" si="6"/>
        <v>1</v>
      </c>
      <c r="Q57" s="86">
        <f>TIME(Tabelle1[[#This Row],[Std. Start]],Tabelle1[[#This Row],[Min. Start]],)</f>
        <v>0</v>
      </c>
      <c r="R57" s="86">
        <f>TIME(Tabelle1[[#This Row],[Std. Ende]],Tabelle1[[#This Row],[Min. Ende]],)</f>
        <v>0</v>
      </c>
      <c r="S57" s="86" t="b">
        <f>OR(AND(Tabelle1[[#This Row],[Σ Arbeit p.Tag]]&gt;9,Tabelle1[[#This Row],[Σ Pause p.Tag]]&lt;Basisdaten!$D$14),AND(Tabelle1[[#This Row],[Σ Arbeit p.Tag]]&lt;=9,Tabelle1[[#This Row],[Σ Arbeit p.Tag]]&gt;6,Tabelle1[[#This Row],[Σ Pause p.Tag]]&lt;Basisdaten!$D$13))</f>
        <v>0</v>
      </c>
      <c r="T57" s="86" t="b">
        <f>(Tabelle1[[#This Row],[Σ Arbeit p.Tag]]&gt;Basisdaten!$D$12)</f>
        <v>0</v>
      </c>
    </row>
    <row r="58" spans="1:20" x14ac:dyDescent="0.15">
      <c r="A58" s="7" t="str">
        <f>IF(Tabelle1[[#This Row],[Tag]]=0,"",
IF(WEEKDAY(B58)=1,"So",
IF(WEEKDAY(B58)=2,"Mo",
IF(WEEKDAY(B58)=3,"Di",
IF(WEEKDAY(B58)=4,"Mi",
IF(WEEKDAY(B58)=5,"Do",
IF(WEEKDAY(B58)=6,"Fr",
IF(WEEKDAY(B58)=7,"Sa"))))))))</f>
        <v/>
      </c>
      <c r="B58" s="8"/>
      <c r="C58" s="9"/>
      <c r="D58" s="10"/>
      <c r="E58" s="9"/>
      <c r="F58" s="10"/>
      <c r="G58" s="97">
        <f t="shared" si="7"/>
        <v>0</v>
      </c>
      <c r="H58" s="94">
        <f>SUMIF(Tabelle1[Tag],Tabelle1[[#This Row],[Tag]],Tabelle1[Stunden])</f>
        <v>0</v>
      </c>
      <c r="I58" s="94" cm="1">
        <f t="array" ref="I58">24*(MAX(IF(EXACT(Tabelle1[Tag],Tabelle1[[#This Row],[Tag]]),Tabelle1[Ende]))
-MIN(IF(EXACT(Tabelle1[Tag],Tabelle1[[#This Row],[Tag]]),Tabelle1[Start])))
-SUMIF(Tabelle1[Tag],Tabelle1[[#This Row],[Tag]],Tabelle1[Stunden])</f>
        <v>0</v>
      </c>
      <c r="J58" s="11"/>
      <c r="K58" s="15"/>
      <c r="L58" s="54"/>
      <c r="M58" s="55" t="str">
        <f>IF(J58&lt;&gt;0,VLOOKUP(J58,Basisdaten!$B$19:$E$26,3,),"")</f>
        <v/>
      </c>
      <c r="N58" s="14" t="str">
        <f>IF(AND(J58&lt;&gt;0,M58="ja"),VLOOKUP(J58,Basisdaten!$B$19:$E$26,4,),"")</f>
        <v/>
      </c>
      <c r="O58" s="14" t="str">
        <f t="shared" si="5"/>
        <v/>
      </c>
      <c r="P58" s="13">
        <f t="shared" si="6"/>
        <v>1</v>
      </c>
      <c r="Q58" s="86">
        <f>TIME(Tabelle1[[#This Row],[Std. Start]],Tabelle1[[#This Row],[Min. Start]],)</f>
        <v>0</v>
      </c>
      <c r="R58" s="86">
        <f>TIME(Tabelle1[[#This Row],[Std. Ende]],Tabelle1[[#This Row],[Min. Ende]],)</f>
        <v>0</v>
      </c>
      <c r="S58" s="86" t="b">
        <f>OR(AND(Tabelle1[[#This Row],[Σ Arbeit p.Tag]]&gt;9,Tabelle1[[#This Row],[Σ Pause p.Tag]]&lt;Basisdaten!$D$14),AND(Tabelle1[[#This Row],[Σ Arbeit p.Tag]]&lt;=9,Tabelle1[[#This Row],[Σ Arbeit p.Tag]]&gt;6,Tabelle1[[#This Row],[Σ Pause p.Tag]]&lt;Basisdaten!$D$13))</f>
        <v>0</v>
      </c>
      <c r="T58" s="86" t="b">
        <f>(Tabelle1[[#This Row],[Σ Arbeit p.Tag]]&gt;Basisdaten!$D$12)</f>
        <v>0</v>
      </c>
    </row>
    <row r="59" spans="1:20" x14ac:dyDescent="0.15">
      <c r="A59" s="7" t="str">
        <f>IF(Tabelle1[[#This Row],[Tag]]=0,"",
IF(WEEKDAY(B59)=1,"So",
IF(WEEKDAY(B59)=2,"Mo",
IF(WEEKDAY(B59)=3,"Di",
IF(WEEKDAY(B59)=4,"Mi",
IF(WEEKDAY(B59)=5,"Do",
IF(WEEKDAY(B59)=6,"Fr",
IF(WEEKDAY(B59)=7,"Sa"))))))))</f>
        <v/>
      </c>
      <c r="B59" s="8"/>
      <c r="C59" s="9"/>
      <c r="D59" s="10"/>
      <c r="E59" s="9"/>
      <c r="F59" s="10"/>
      <c r="G59" s="97">
        <f t="shared" si="7"/>
        <v>0</v>
      </c>
      <c r="H59" s="94">
        <f>SUMIF(Tabelle1[Tag],Tabelle1[[#This Row],[Tag]],Tabelle1[Stunden])</f>
        <v>0</v>
      </c>
      <c r="I59" s="94" cm="1">
        <f t="array" ref="I59">24*(MAX(IF(EXACT(Tabelle1[Tag],Tabelle1[[#This Row],[Tag]]),Tabelle1[Ende]))
-MIN(IF(EXACT(Tabelle1[Tag],Tabelle1[[#This Row],[Tag]]),Tabelle1[Start])))
-SUMIF(Tabelle1[Tag],Tabelle1[[#This Row],[Tag]],Tabelle1[Stunden])</f>
        <v>0</v>
      </c>
      <c r="J59" s="11"/>
      <c r="K59" s="15"/>
      <c r="L59" s="54"/>
      <c r="M59" s="55" t="str">
        <f>IF(J59&lt;&gt;0,VLOOKUP(J59,Basisdaten!$B$19:$E$26,3,),"")</f>
        <v/>
      </c>
      <c r="N59" s="14" t="str">
        <f>IF(AND(J59&lt;&gt;0,M59="ja"),VLOOKUP(J59,Basisdaten!$B$19:$E$26,4,),"")</f>
        <v/>
      </c>
      <c r="O59" s="14" t="str">
        <f t="shared" si="5"/>
        <v/>
      </c>
      <c r="P59" s="13">
        <f t="shared" si="6"/>
        <v>1</v>
      </c>
      <c r="Q59" s="86">
        <f>TIME(Tabelle1[[#This Row],[Std. Start]],Tabelle1[[#This Row],[Min. Start]],)</f>
        <v>0</v>
      </c>
      <c r="R59" s="86">
        <f>TIME(Tabelle1[[#This Row],[Std. Ende]],Tabelle1[[#This Row],[Min. Ende]],)</f>
        <v>0</v>
      </c>
      <c r="S59" s="86" t="b">
        <f>OR(AND(Tabelle1[[#This Row],[Σ Arbeit p.Tag]]&gt;9,Tabelle1[[#This Row],[Σ Pause p.Tag]]&lt;Basisdaten!$D$14),AND(Tabelle1[[#This Row],[Σ Arbeit p.Tag]]&lt;=9,Tabelle1[[#This Row],[Σ Arbeit p.Tag]]&gt;6,Tabelle1[[#This Row],[Σ Pause p.Tag]]&lt;Basisdaten!$D$13))</f>
        <v>0</v>
      </c>
      <c r="T59" s="86" t="b">
        <f>(Tabelle1[[#This Row],[Σ Arbeit p.Tag]]&gt;Basisdaten!$D$12)</f>
        <v>0</v>
      </c>
    </row>
    <row r="60" spans="1:20" x14ac:dyDescent="0.15">
      <c r="A60" s="7" t="str">
        <f>IF(Tabelle1[[#This Row],[Tag]]=0,"",
IF(WEEKDAY(B60)=1,"So",
IF(WEEKDAY(B60)=2,"Mo",
IF(WEEKDAY(B60)=3,"Di",
IF(WEEKDAY(B60)=4,"Mi",
IF(WEEKDAY(B60)=5,"Do",
IF(WEEKDAY(B60)=6,"Fr",
IF(WEEKDAY(B60)=7,"Sa"))))))))</f>
        <v/>
      </c>
      <c r="B60" s="8"/>
      <c r="C60" s="9"/>
      <c r="D60" s="10"/>
      <c r="E60" s="9"/>
      <c r="F60" s="10"/>
      <c r="G60" s="97">
        <f t="shared" si="7"/>
        <v>0</v>
      </c>
      <c r="H60" s="94">
        <f>SUMIF(Tabelle1[Tag],Tabelle1[[#This Row],[Tag]],Tabelle1[Stunden])</f>
        <v>0</v>
      </c>
      <c r="I60" s="94" cm="1">
        <f t="array" ref="I60">24*(MAX(IF(EXACT(Tabelle1[Tag],Tabelle1[[#This Row],[Tag]]),Tabelle1[Ende]))
-MIN(IF(EXACT(Tabelle1[Tag],Tabelle1[[#This Row],[Tag]]),Tabelle1[Start])))
-SUMIF(Tabelle1[Tag],Tabelle1[[#This Row],[Tag]],Tabelle1[Stunden])</f>
        <v>0</v>
      </c>
      <c r="J60" s="11"/>
      <c r="K60" s="15"/>
      <c r="L60" s="54"/>
      <c r="M60" s="55" t="str">
        <f>IF(J60&lt;&gt;0,VLOOKUP(J60,Basisdaten!$B$19:$E$26,3,),"")</f>
        <v/>
      </c>
      <c r="N60" s="14" t="str">
        <f>IF(AND(J60&lt;&gt;0,M60="ja"),VLOOKUP(J60,Basisdaten!$B$19:$E$26,4,),"")</f>
        <v/>
      </c>
      <c r="O60" s="14" t="str">
        <f t="shared" si="5"/>
        <v/>
      </c>
      <c r="P60" s="13">
        <f t="shared" si="6"/>
        <v>1</v>
      </c>
      <c r="Q60" s="86">
        <f>TIME(Tabelle1[[#This Row],[Std. Start]],Tabelle1[[#This Row],[Min. Start]],)</f>
        <v>0</v>
      </c>
      <c r="R60" s="86">
        <f>TIME(Tabelle1[[#This Row],[Std. Ende]],Tabelle1[[#This Row],[Min. Ende]],)</f>
        <v>0</v>
      </c>
      <c r="S60" s="86" t="b">
        <f>OR(AND(Tabelle1[[#This Row],[Σ Arbeit p.Tag]]&gt;9,Tabelle1[[#This Row],[Σ Pause p.Tag]]&lt;Basisdaten!$D$14),AND(Tabelle1[[#This Row],[Σ Arbeit p.Tag]]&lt;=9,Tabelle1[[#This Row],[Σ Arbeit p.Tag]]&gt;6,Tabelle1[[#This Row],[Σ Pause p.Tag]]&lt;Basisdaten!$D$13))</f>
        <v>0</v>
      </c>
      <c r="T60" s="86" t="b">
        <f>(Tabelle1[[#This Row],[Σ Arbeit p.Tag]]&gt;Basisdaten!$D$12)</f>
        <v>0</v>
      </c>
    </row>
    <row r="61" spans="1:20" x14ac:dyDescent="0.15">
      <c r="A61" s="7" t="str">
        <f>IF(Tabelle1[[#This Row],[Tag]]=0,"",
IF(WEEKDAY(B61)=1,"So",
IF(WEEKDAY(B61)=2,"Mo",
IF(WEEKDAY(B61)=3,"Di",
IF(WEEKDAY(B61)=4,"Mi",
IF(WEEKDAY(B61)=5,"Do",
IF(WEEKDAY(B61)=6,"Fr",
IF(WEEKDAY(B61)=7,"Sa"))))))))</f>
        <v/>
      </c>
      <c r="B61" s="8"/>
      <c r="C61" s="9"/>
      <c r="D61" s="10"/>
      <c r="E61" s="9"/>
      <c r="F61" s="10"/>
      <c r="G61" s="97">
        <f t="shared" si="7"/>
        <v>0</v>
      </c>
      <c r="H61" s="94">
        <f>SUMIF(Tabelle1[Tag],Tabelle1[[#This Row],[Tag]],Tabelle1[Stunden])</f>
        <v>0</v>
      </c>
      <c r="I61" s="94" cm="1">
        <f t="array" ref="I61">24*(MAX(IF(EXACT(Tabelle1[Tag],Tabelle1[[#This Row],[Tag]]),Tabelle1[Ende]))
-MIN(IF(EXACT(Tabelle1[Tag],Tabelle1[[#This Row],[Tag]]),Tabelle1[Start])))
-SUMIF(Tabelle1[Tag],Tabelle1[[#This Row],[Tag]],Tabelle1[Stunden])</f>
        <v>0</v>
      </c>
      <c r="J61" s="11"/>
      <c r="K61" s="15"/>
      <c r="L61" s="54"/>
      <c r="M61" s="55" t="str">
        <f>IF(J61&lt;&gt;0,VLOOKUP(J61,Basisdaten!$B$19:$E$26,3,),"")</f>
        <v/>
      </c>
      <c r="N61" s="14" t="str">
        <f>IF(AND(J61&lt;&gt;0,M61="ja"),VLOOKUP(J61,Basisdaten!$B$19:$E$26,4,),"")</f>
        <v/>
      </c>
      <c r="O61" s="14" t="str">
        <f t="shared" si="5"/>
        <v/>
      </c>
      <c r="P61" s="13">
        <f t="shared" si="6"/>
        <v>1</v>
      </c>
      <c r="Q61" s="86">
        <f>TIME(Tabelle1[[#This Row],[Std. Start]],Tabelle1[[#This Row],[Min. Start]],)</f>
        <v>0</v>
      </c>
      <c r="R61" s="86">
        <f>TIME(Tabelle1[[#This Row],[Std. Ende]],Tabelle1[[#This Row],[Min. Ende]],)</f>
        <v>0</v>
      </c>
      <c r="S61" s="86" t="b">
        <f>OR(AND(Tabelle1[[#This Row],[Σ Arbeit p.Tag]]&gt;9,Tabelle1[[#This Row],[Σ Pause p.Tag]]&lt;Basisdaten!$D$14),AND(Tabelle1[[#This Row],[Σ Arbeit p.Tag]]&lt;=9,Tabelle1[[#This Row],[Σ Arbeit p.Tag]]&gt;6,Tabelle1[[#This Row],[Σ Pause p.Tag]]&lt;Basisdaten!$D$13))</f>
        <v>0</v>
      </c>
      <c r="T61" s="86" t="b">
        <f>(Tabelle1[[#This Row],[Σ Arbeit p.Tag]]&gt;Basisdaten!$D$12)</f>
        <v>0</v>
      </c>
    </row>
    <row r="62" spans="1:20" x14ac:dyDescent="0.15">
      <c r="A62" s="7" t="str">
        <f>IF(Tabelle1[[#This Row],[Tag]]=0,"",
IF(WEEKDAY(B62)=1,"So",
IF(WEEKDAY(B62)=2,"Mo",
IF(WEEKDAY(B62)=3,"Di",
IF(WEEKDAY(B62)=4,"Mi",
IF(WEEKDAY(B62)=5,"Do",
IF(WEEKDAY(B62)=6,"Fr",
IF(WEEKDAY(B62)=7,"Sa"))))))))</f>
        <v/>
      </c>
      <c r="B62" s="8"/>
      <c r="C62" s="9"/>
      <c r="D62" s="10"/>
      <c r="E62" s="9"/>
      <c r="F62" s="10"/>
      <c r="G62" s="97">
        <f t="shared" si="7"/>
        <v>0</v>
      </c>
      <c r="H62" s="94">
        <f>SUMIF(Tabelle1[Tag],Tabelle1[[#This Row],[Tag]],Tabelle1[Stunden])</f>
        <v>0</v>
      </c>
      <c r="I62" s="94" cm="1">
        <f t="array" ref="I62">24*(MAX(IF(EXACT(Tabelle1[Tag],Tabelle1[[#This Row],[Tag]]),Tabelle1[Ende]))
-MIN(IF(EXACT(Tabelle1[Tag],Tabelle1[[#This Row],[Tag]]),Tabelle1[Start])))
-SUMIF(Tabelle1[Tag],Tabelle1[[#This Row],[Tag]],Tabelle1[Stunden])</f>
        <v>0</v>
      </c>
      <c r="J62" s="11"/>
      <c r="K62" s="15"/>
      <c r="L62" s="54"/>
      <c r="M62" s="55" t="str">
        <f>IF(J62&lt;&gt;0,VLOOKUP(J62,Basisdaten!$B$19:$E$26,3,),"")</f>
        <v/>
      </c>
      <c r="N62" s="14" t="str">
        <f>IF(AND(J62&lt;&gt;0,M62="ja"),VLOOKUP(J62,Basisdaten!$B$19:$E$26,4,),"")</f>
        <v/>
      </c>
      <c r="O62" s="14" t="str">
        <f t="shared" si="5"/>
        <v/>
      </c>
      <c r="P62" s="13">
        <f t="shared" si="6"/>
        <v>1</v>
      </c>
      <c r="Q62" s="86">
        <f>TIME(Tabelle1[[#This Row],[Std. Start]],Tabelle1[[#This Row],[Min. Start]],)</f>
        <v>0</v>
      </c>
      <c r="R62" s="86">
        <f>TIME(Tabelle1[[#This Row],[Std. Ende]],Tabelle1[[#This Row],[Min. Ende]],)</f>
        <v>0</v>
      </c>
      <c r="S62" s="86" t="b">
        <f>OR(AND(Tabelle1[[#This Row],[Σ Arbeit p.Tag]]&gt;9,Tabelle1[[#This Row],[Σ Pause p.Tag]]&lt;Basisdaten!$D$14),AND(Tabelle1[[#This Row],[Σ Arbeit p.Tag]]&lt;=9,Tabelle1[[#This Row],[Σ Arbeit p.Tag]]&gt;6,Tabelle1[[#This Row],[Σ Pause p.Tag]]&lt;Basisdaten!$D$13))</f>
        <v>0</v>
      </c>
      <c r="T62" s="86" t="b">
        <f>(Tabelle1[[#This Row],[Σ Arbeit p.Tag]]&gt;Basisdaten!$D$12)</f>
        <v>0</v>
      </c>
    </row>
    <row r="63" spans="1:20" x14ac:dyDescent="0.15">
      <c r="A63" s="7" t="str">
        <f>IF(Tabelle1[[#This Row],[Tag]]=0,"",
IF(WEEKDAY(B63)=1,"So",
IF(WEEKDAY(B63)=2,"Mo",
IF(WEEKDAY(B63)=3,"Di",
IF(WEEKDAY(B63)=4,"Mi",
IF(WEEKDAY(B63)=5,"Do",
IF(WEEKDAY(B63)=6,"Fr",
IF(WEEKDAY(B63)=7,"Sa"))))))))</f>
        <v/>
      </c>
      <c r="B63" s="8"/>
      <c r="C63" s="9"/>
      <c r="D63" s="10"/>
      <c r="E63" s="9"/>
      <c r="F63" s="10"/>
      <c r="G63" s="97">
        <f t="shared" si="7"/>
        <v>0</v>
      </c>
      <c r="H63" s="94">
        <f>SUMIF(Tabelle1[Tag],Tabelle1[[#This Row],[Tag]],Tabelle1[Stunden])</f>
        <v>0</v>
      </c>
      <c r="I63" s="94" cm="1">
        <f t="array" ref="I63">24*(MAX(IF(EXACT(Tabelle1[Tag],Tabelle1[[#This Row],[Tag]]),Tabelle1[Ende]))
-MIN(IF(EXACT(Tabelle1[Tag],Tabelle1[[#This Row],[Tag]]),Tabelle1[Start])))
-SUMIF(Tabelle1[Tag],Tabelle1[[#This Row],[Tag]],Tabelle1[Stunden])</f>
        <v>0</v>
      </c>
      <c r="J63" s="11"/>
      <c r="K63" s="15"/>
      <c r="L63" s="54"/>
      <c r="M63" s="55" t="str">
        <f>IF(J63&lt;&gt;0,VLOOKUP(J63,Basisdaten!$B$19:$E$26,3,),"")</f>
        <v/>
      </c>
      <c r="N63" s="14" t="str">
        <f>IF(AND(J63&lt;&gt;0,M63="ja"),VLOOKUP(J63,Basisdaten!$B$19:$E$26,4,),"")</f>
        <v/>
      </c>
      <c r="O63" s="14" t="str">
        <f t="shared" si="5"/>
        <v/>
      </c>
      <c r="P63" s="13">
        <f t="shared" si="6"/>
        <v>1</v>
      </c>
      <c r="Q63" s="86">
        <f>TIME(Tabelle1[[#This Row],[Std. Start]],Tabelle1[[#This Row],[Min. Start]],)</f>
        <v>0</v>
      </c>
      <c r="R63" s="86">
        <f>TIME(Tabelle1[[#This Row],[Std. Ende]],Tabelle1[[#This Row],[Min. Ende]],)</f>
        <v>0</v>
      </c>
      <c r="S63" s="86" t="b">
        <f>OR(AND(Tabelle1[[#This Row],[Σ Arbeit p.Tag]]&gt;9,Tabelle1[[#This Row],[Σ Pause p.Tag]]&lt;Basisdaten!$D$14),AND(Tabelle1[[#This Row],[Σ Arbeit p.Tag]]&lt;=9,Tabelle1[[#This Row],[Σ Arbeit p.Tag]]&gt;6,Tabelle1[[#This Row],[Σ Pause p.Tag]]&lt;Basisdaten!$D$13))</f>
        <v>0</v>
      </c>
      <c r="T63" s="86" t="b">
        <f>(Tabelle1[[#This Row],[Σ Arbeit p.Tag]]&gt;Basisdaten!$D$12)</f>
        <v>0</v>
      </c>
    </row>
    <row r="64" spans="1:20" x14ac:dyDescent="0.15">
      <c r="A64" s="7" t="str">
        <f>IF(Tabelle1[[#This Row],[Tag]]=0,"",
IF(WEEKDAY(B64)=1,"So",
IF(WEEKDAY(B64)=2,"Mo",
IF(WEEKDAY(B64)=3,"Di",
IF(WEEKDAY(B64)=4,"Mi",
IF(WEEKDAY(B64)=5,"Do",
IF(WEEKDAY(B64)=6,"Fr",
IF(WEEKDAY(B64)=7,"Sa"))))))))</f>
        <v/>
      </c>
      <c r="B64" s="8"/>
      <c r="C64" s="9"/>
      <c r="D64" s="10"/>
      <c r="E64" s="9"/>
      <c r="F64" s="10"/>
      <c r="G64" s="97">
        <f t="shared" si="7"/>
        <v>0</v>
      </c>
      <c r="H64" s="94">
        <f>SUMIF(Tabelle1[Tag],Tabelle1[[#This Row],[Tag]],Tabelle1[Stunden])</f>
        <v>0</v>
      </c>
      <c r="I64" s="94" cm="1">
        <f t="array" ref="I64">24*(MAX(IF(EXACT(Tabelle1[Tag],Tabelle1[[#This Row],[Tag]]),Tabelle1[Ende]))
-MIN(IF(EXACT(Tabelle1[Tag],Tabelle1[[#This Row],[Tag]]),Tabelle1[Start])))
-SUMIF(Tabelle1[Tag],Tabelle1[[#This Row],[Tag]],Tabelle1[Stunden])</f>
        <v>0</v>
      </c>
      <c r="J64" s="11"/>
      <c r="K64" s="15"/>
      <c r="L64" s="54"/>
      <c r="M64" s="55" t="str">
        <f>IF(J64&lt;&gt;0,VLOOKUP(J64,Basisdaten!$B$19:$E$26,3,),"")</f>
        <v/>
      </c>
      <c r="N64" s="14" t="str">
        <f>IF(AND(J64&lt;&gt;0,M64="ja"),VLOOKUP(J64,Basisdaten!$B$19:$E$26,4,),"")</f>
        <v/>
      </c>
      <c r="O64" s="14" t="str">
        <f t="shared" si="5"/>
        <v/>
      </c>
      <c r="P64" s="13">
        <f t="shared" si="6"/>
        <v>1</v>
      </c>
      <c r="Q64" s="86">
        <f>TIME(Tabelle1[[#This Row],[Std. Start]],Tabelle1[[#This Row],[Min. Start]],)</f>
        <v>0</v>
      </c>
      <c r="R64" s="86">
        <f>TIME(Tabelle1[[#This Row],[Std. Ende]],Tabelle1[[#This Row],[Min. Ende]],)</f>
        <v>0</v>
      </c>
      <c r="S64" s="86" t="b">
        <f>OR(AND(Tabelle1[[#This Row],[Σ Arbeit p.Tag]]&gt;9,Tabelle1[[#This Row],[Σ Pause p.Tag]]&lt;Basisdaten!$D$14),AND(Tabelle1[[#This Row],[Σ Arbeit p.Tag]]&lt;=9,Tabelle1[[#This Row],[Σ Arbeit p.Tag]]&gt;6,Tabelle1[[#This Row],[Σ Pause p.Tag]]&lt;Basisdaten!$D$13))</f>
        <v>0</v>
      </c>
      <c r="T64" s="86" t="b">
        <f>(Tabelle1[[#This Row],[Σ Arbeit p.Tag]]&gt;Basisdaten!$D$12)</f>
        <v>0</v>
      </c>
    </row>
    <row r="65" spans="1:20" x14ac:dyDescent="0.15">
      <c r="A65" s="7" t="str">
        <f>IF(Tabelle1[[#This Row],[Tag]]=0,"",
IF(WEEKDAY(B65)=1,"So",
IF(WEEKDAY(B65)=2,"Mo",
IF(WEEKDAY(B65)=3,"Di",
IF(WEEKDAY(B65)=4,"Mi",
IF(WEEKDAY(B65)=5,"Do",
IF(WEEKDAY(B65)=6,"Fr",
IF(WEEKDAY(B65)=7,"Sa"))))))))</f>
        <v/>
      </c>
      <c r="B65" s="8"/>
      <c r="C65" s="9"/>
      <c r="D65" s="10"/>
      <c r="E65" s="9"/>
      <c r="F65" s="10"/>
      <c r="G65" s="97">
        <f t="shared" si="7"/>
        <v>0</v>
      </c>
      <c r="H65" s="94">
        <f>SUMIF(Tabelle1[Tag],Tabelle1[[#This Row],[Tag]],Tabelle1[Stunden])</f>
        <v>0</v>
      </c>
      <c r="I65" s="94" cm="1">
        <f t="array" ref="I65">24*(MAX(IF(EXACT(Tabelle1[Tag],Tabelle1[[#This Row],[Tag]]),Tabelle1[Ende]))
-MIN(IF(EXACT(Tabelle1[Tag],Tabelle1[[#This Row],[Tag]]),Tabelle1[Start])))
-SUMIF(Tabelle1[Tag],Tabelle1[[#This Row],[Tag]],Tabelle1[Stunden])</f>
        <v>0</v>
      </c>
      <c r="J65" s="11"/>
      <c r="K65" s="15"/>
      <c r="L65" s="54"/>
      <c r="M65" s="55" t="str">
        <f>IF(J65&lt;&gt;0,VLOOKUP(J65,Basisdaten!$B$19:$E$26,3,),"")</f>
        <v/>
      </c>
      <c r="N65" s="14" t="str">
        <f>IF(AND(J65&lt;&gt;0,M65="ja"),VLOOKUP(J65,Basisdaten!$B$19:$E$26,4,),"")</f>
        <v/>
      </c>
      <c r="O65" s="14" t="str">
        <f t="shared" si="5"/>
        <v/>
      </c>
      <c r="P65" s="13">
        <f t="shared" si="6"/>
        <v>1</v>
      </c>
      <c r="Q65" s="86">
        <f>TIME(Tabelle1[[#This Row],[Std. Start]],Tabelle1[[#This Row],[Min. Start]],)</f>
        <v>0</v>
      </c>
      <c r="R65" s="86">
        <f>TIME(Tabelle1[[#This Row],[Std. Ende]],Tabelle1[[#This Row],[Min. Ende]],)</f>
        <v>0</v>
      </c>
      <c r="S65" s="86" t="b">
        <f>OR(AND(Tabelle1[[#This Row],[Σ Arbeit p.Tag]]&gt;9,Tabelle1[[#This Row],[Σ Pause p.Tag]]&lt;Basisdaten!$D$14),AND(Tabelle1[[#This Row],[Σ Arbeit p.Tag]]&lt;=9,Tabelle1[[#This Row],[Σ Arbeit p.Tag]]&gt;6,Tabelle1[[#This Row],[Σ Pause p.Tag]]&lt;Basisdaten!$D$13))</f>
        <v>0</v>
      </c>
      <c r="T65" s="86" t="b">
        <f>(Tabelle1[[#This Row],[Σ Arbeit p.Tag]]&gt;Basisdaten!$D$12)</f>
        <v>0</v>
      </c>
    </row>
    <row r="66" spans="1:20" x14ac:dyDescent="0.15">
      <c r="A66" s="7" t="str">
        <f>IF(Tabelle1[[#This Row],[Tag]]=0,"",
IF(WEEKDAY(B66)=1,"So",
IF(WEEKDAY(B66)=2,"Mo",
IF(WEEKDAY(B66)=3,"Di",
IF(WEEKDAY(B66)=4,"Mi",
IF(WEEKDAY(B66)=5,"Do",
IF(WEEKDAY(B66)=6,"Fr",
IF(WEEKDAY(B66)=7,"Sa"))))))))</f>
        <v/>
      </c>
      <c r="B66" s="8"/>
      <c r="C66" s="9"/>
      <c r="D66" s="10"/>
      <c r="E66" s="9"/>
      <c r="F66" s="10"/>
      <c r="G66" s="97">
        <f t="shared" si="7"/>
        <v>0</v>
      </c>
      <c r="H66" s="94">
        <f>SUMIF(Tabelle1[Tag],Tabelle1[[#This Row],[Tag]],Tabelle1[Stunden])</f>
        <v>0</v>
      </c>
      <c r="I66" s="94" cm="1">
        <f t="array" ref="I66">24*(MAX(IF(EXACT(Tabelle1[Tag],Tabelle1[[#This Row],[Tag]]),Tabelle1[Ende]))
-MIN(IF(EXACT(Tabelle1[Tag],Tabelle1[[#This Row],[Tag]]),Tabelle1[Start])))
-SUMIF(Tabelle1[Tag],Tabelle1[[#This Row],[Tag]],Tabelle1[Stunden])</f>
        <v>0</v>
      </c>
      <c r="J66" s="11"/>
      <c r="K66" s="15"/>
      <c r="L66" s="54"/>
      <c r="M66" s="55" t="str">
        <f>IF(J66&lt;&gt;0,VLOOKUP(J66,Basisdaten!$B$19:$E$26,3,),"")</f>
        <v/>
      </c>
      <c r="N66" s="14" t="str">
        <f>IF(AND(J66&lt;&gt;0,M66="ja"),VLOOKUP(J66,Basisdaten!$B$19:$E$26,4,),"")</f>
        <v/>
      </c>
      <c r="O66" s="14" t="str">
        <f t="shared" si="5"/>
        <v/>
      </c>
      <c r="P66" s="13">
        <f t="shared" si="6"/>
        <v>1</v>
      </c>
      <c r="Q66" s="86">
        <f>TIME(Tabelle1[[#This Row],[Std. Start]],Tabelle1[[#This Row],[Min. Start]],)</f>
        <v>0</v>
      </c>
      <c r="R66" s="86">
        <f>TIME(Tabelle1[[#This Row],[Std. Ende]],Tabelle1[[#This Row],[Min. Ende]],)</f>
        <v>0</v>
      </c>
      <c r="S66" s="86" t="b">
        <f>OR(AND(Tabelle1[[#This Row],[Σ Arbeit p.Tag]]&gt;9,Tabelle1[[#This Row],[Σ Pause p.Tag]]&lt;Basisdaten!$D$14),AND(Tabelle1[[#This Row],[Σ Arbeit p.Tag]]&lt;=9,Tabelle1[[#This Row],[Σ Arbeit p.Tag]]&gt;6,Tabelle1[[#This Row],[Σ Pause p.Tag]]&lt;Basisdaten!$D$13))</f>
        <v>0</v>
      </c>
      <c r="T66" s="86" t="b">
        <f>(Tabelle1[[#This Row],[Σ Arbeit p.Tag]]&gt;Basisdaten!$D$12)</f>
        <v>0</v>
      </c>
    </row>
    <row r="67" spans="1:20" x14ac:dyDescent="0.15">
      <c r="A67" s="7" t="str">
        <f>IF(Tabelle1[[#This Row],[Tag]]=0,"",
IF(WEEKDAY(B67)=1,"So",
IF(WEEKDAY(B67)=2,"Mo",
IF(WEEKDAY(B67)=3,"Di",
IF(WEEKDAY(B67)=4,"Mi",
IF(WEEKDAY(B67)=5,"Do",
IF(WEEKDAY(B67)=6,"Fr",
IF(WEEKDAY(B67)=7,"Sa"))))))))</f>
        <v/>
      </c>
      <c r="B67" s="8"/>
      <c r="C67" s="9"/>
      <c r="D67" s="10"/>
      <c r="E67" s="9"/>
      <c r="F67" s="10"/>
      <c r="G67" s="97">
        <f t="shared" si="7"/>
        <v>0</v>
      </c>
      <c r="H67" s="94">
        <f>SUMIF(Tabelle1[Tag],Tabelle1[[#This Row],[Tag]],Tabelle1[Stunden])</f>
        <v>0</v>
      </c>
      <c r="I67" s="94" cm="1">
        <f t="array" ref="I67">24*(MAX(IF(EXACT(Tabelle1[Tag],Tabelle1[[#This Row],[Tag]]),Tabelle1[Ende]))
-MIN(IF(EXACT(Tabelle1[Tag],Tabelle1[[#This Row],[Tag]]),Tabelle1[Start])))
-SUMIF(Tabelle1[Tag],Tabelle1[[#This Row],[Tag]],Tabelle1[Stunden])</f>
        <v>0</v>
      </c>
      <c r="J67" s="11"/>
      <c r="K67" s="15"/>
      <c r="L67" s="54"/>
      <c r="M67" s="55" t="str">
        <f>IF(J67&lt;&gt;0,VLOOKUP(J67,Basisdaten!$B$19:$E$26,3,),"")</f>
        <v/>
      </c>
      <c r="N67" s="14" t="str">
        <f>IF(AND(J67&lt;&gt;0,M67="ja"),VLOOKUP(J67,Basisdaten!$B$19:$E$26,4,),"")</f>
        <v/>
      </c>
      <c r="O67" s="14" t="str">
        <f t="shared" si="5"/>
        <v/>
      </c>
      <c r="P67" s="13">
        <f t="shared" si="6"/>
        <v>1</v>
      </c>
      <c r="Q67" s="86">
        <f>TIME(Tabelle1[[#This Row],[Std. Start]],Tabelle1[[#This Row],[Min. Start]],)</f>
        <v>0</v>
      </c>
      <c r="R67" s="86">
        <f>TIME(Tabelle1[[#This Row],[Std. Ende]],Tabelle1[[#This Row],[Min. Ende]],)</f>
        <v>0</v>
      </c>
      <c r="S67" s="86" t="b">
        <f>OR(AND(Tabelle1[[#This Row],[Σ Arbeit p.Tag]]&gt;9,Tabelle1[[#This Row],[Σ Pause p.Tag]]&lt;Basisdaten!$D$14),AND(Tabelle1[[#This Row],[Σ Arbeit p.Tag]]&lt;=9,Tabelle1[[#This Row],[Σ Arbeit p.Tag]]&gt;6,Tabelle1[[#This Row],[Σ Pause p.Tag]]&lt;Basisdaten!$D$13))</f>
        <v>0</v>
      </c>
      <c r="T67" s="86" t="b">
        <f>(Tabelle1[[#This Row],[Σ Arbeit p.Tag]]&gt;Basisdaten!$D$12)</f>
        <v>0</v>
      </c>
    </row>
    <row r="68" spans="1:20" x14ac:dyDescent="0.15">
      <c r="A68" s="7" t="str">
        <f>IF(Tabelle1[[#This Row],[Tag]]=0,"",
IF(WEEKDAY(B68)=1,"So",
IF(WEEKDAY(B68)=2,"Mo",
IF(WEEKDAY(B68)=3,"Di",
IF(WEEKDAY(B68)=4,"Mi",
IF(WEEKDAY(B68)=5,"Do",
IF(WEEKDAY(B68)=6,"Fr",
IF(WEEKDAY(B68)=7,"Sa"))))))))</f>
        <v/>
      </c>
      <c r="B68" s="8"/>
      <c r="C68" s="9"/>
      <c r="D68" s="10"/>
      <c r="E68" s="9"/>
      <c r="F68" s="10"/>
      <c r="G68" s="97">
        <f t="shared" si="7"/>
        <v>0</v>
      </c>
      <c r="H68" s="94">
        <f>SUMIF(Tabelle1[Tag],Tabelle1[[#This Row],[Tag]],Tabelle1[Stunden])</f>
        <v>0</v>
      </c>
      <c r="I68" s="94" cm="1">
        <f t="array" ref="I68">24*(MAX(IF(EXACT(Tabelle1[Tag],Tabelle1[[#This Row],[Tag]]),Tabelle1[Ende]))
-MIN(IF(EXACT(Tabelle1[Tag],Tabelle1[[#This Row],[Tag]]),Tabelle1[Start])))
-SUMIF(Tabelle1[Tag],Tabelle1[[#This Row],[Tag]],Tabelle1[Stunden])</f>
        <v>0</v>
      </c>
      <c r="J68" s="11"/>
      <c r="K68" s="15"/>
      <c r="L68" s="54"/>
      <c r="M68" s="55" t="str">
        <f>IF(J68&lt;&gt;0,VLOOKUP(J68,Basisdaten!$B$19:$E$26,3,),"")</f>
        <v/>
      </c>
      <c r="N68" s="14" t="str">
        <f>IF(AND(J68&lt;&gt;0,M68="ja"),VLOOKUP(J68,Basisdaten!$B$19:$E$26,4,),"")</f>
        <v/>
      </c>
      <c r="O68" s="14" t="str">
        <f t="shared" si="5"/>
        <v/>
      </c>
      <c r="P68" s="13">
        <f t="shared" si="6"/>
        <v>1</v>
      </c>
      <c r="Q68" s="86">
        <f>TIME(Tabelle1[[#This Row],[Std. Start]],Tabelle1[[#This Row],[Min. Start]],)</f>
        <v>0</v>
      </c>
      <c r="R68" s="86">
        <f>TIME(Tabelle1[[#This Row],[Std. Ende]],Tabelle1[[#This Row],[Min. Ende]],)</f>
        <v>0</v>
      </c>
      <c r="S68" s="86" t="b">
        <f>OR(AND(Tabelle1[[#This Row],[Σ Arbeit p.Tag]]&gt;9,Tabelle1[[#This Row],[Σ Pause p.Tag]]&lt;Basisdaten!$D$14),AND(Tabelle1[[#This Row],[Σ Arbeit p.Tag]]&lt;=9,Tabelle1[[#This Row],[Σ Arbeit p.Tag]]&gt;6,Tabelle1[[#This Row],[Σ Pause p.Tag]]&lt;Basisdaten!$D$13))</f>
        <v>0</v>
      </c>
      <c r="T68" s="86" t="b">
        <f>(Tabelle1[[#This Row],[Σ Arbeit p.Tag]]&gt;Basisdaten!$D$12)</f>
        <v>0</v>
      </c>
    </row>
    <row r="69" spans="1:20" x14ac:dyDescent="0.15">
      <c r="A69" s="7" t="str">
        <f>IF(Tabelle1[[#This Row],[Tag]]=0,"",
IF(WEEKDAY(B69)=1,"So",
IF(WEEKDAY(B69)=2,"Mo",
IF(WEEKDAY(B69)=3,"Di",
IF(WEEKDAY(B69)=4,"Mi",
IF(WEEKDAY(B69)=5,"Do",
IF(WEEKDAY(B69)=6,"Fr",
IF(WEEKDAY(B69)=7,"Sa"))))))))</f>
        <v/>
      </c>
      <c r="B69" s="8"/>
      <c r="C69" s="9"/>
      <c r="D69" s="10"/>
      <c r="E69" s="9"/>
      <c r="F69" s="10"/>
      <c r="G69" s="97">
        <f t="shared" si="7"/>
        <v>0</v>
      </c>
      <c r="H69" s="94">
        <f>SUMIF(Tabelle1[Tag],Tabelle1[[#This Row],[Tag]],Tabelle1[Stunden])</f>
        <v>0</v>
      </c>
      <c r="I69" s="94" cm="1">
        <f t="array" ref="I69">24*(MAX(IF(EXACT(Tabelle1[Tag],Tabelle1[[#This Row],[Tag]]),Tabelle1[Ende]))
-MIN(IF(EXACT(Tabelle1[Tag],Tabelle1[[#This Row],[Tag]]),Tabelle1[Start])))
-SUMIF(Tabelle1[Tag],Tabelle1[[#This Row],[Tag]],Tabelle1[Stunden])</f>
        <v>0</v>
      </c>
      <c r="J69" s="11"/>
      <c r="K69" s="15"/>
      <c r="L69" s="54"/>
      <c r="M69" s="55" t="str">
        <f>IF(J69&lt;&gt;0,VLOOKUP(J69,Basisdaten!$B$19:$E$26,3,),"")</f>
        <v/>
      </c>
      <c r="N69" s="14" t="str">
        <f>IF(AND(J69&lt;&gt;0,M69="ja"),VLOOKUP(J69,Basisdaten!$B$19:$E$26,4,),"")</f>
        <v/>
      </c>
      <c r="O69" s="14" t="str">
        <f t="shared" si="5"/>
        <v/>
      </c>
      <c r="P69" s="13">
        <f t="shared" si="6"/>
        <v>1</v>
      </c>
      <c r="Q69" s="86">
        <f>TIME(Tabelle1[[#This Row],[Std. Start]],Tabelle1[[#This Row],[Min. Start]],)</f>
        <v>0</v>
      </c>
      <c r="R69" s="86">
        <f>TIME(Tabelle1[[#This Row],[Std. Ende]],Tabelle1[[#This Row],[Min. Ende]],)</f>
        <v>0</v>
      </c>
      <c r="S69" s="86" t="b">
        <f>OR(AND(Tabelle1[[#This Row],[Σ Arbeit p.Tag]]&gt;9,Tabelle1[[#This Row],[Σ Pause p.Tag]]&lt;Basisdaten!$D$14),AND(Tabelle1[[#This Row],[Σ Arbeit p.Tag]]&lt;=9,Tabelle1[[#This Row],[Σ Arbeit p.Tag]]&gt;6,Tabelle1[[#This Row],[Σ Pause p.Tag]]&lt;Basisdaten!$D$13))</f>
        <v>0</v>
      </c>
      <c r="T69" s="86" t="b">
        <f>(Tabelle1[[#This Row],[Σ Arbeit p.Tag]]&gt;Basisdaten!$D$12)</f>
        <v>0</v>
      </c>
    </row>
    <row r="70" spans="1:20" x14ac:dyDescent="0.15">
      <c r="A70" s="7" t="str">
        <f>IF(Tabelle1[[#This Row],[Tag]]=0,"",
IF(WEEKDAY(B70)=1,"So",
IF(WEEKDAY(B70)=2,"Mo",
IF(WEEKDAY(B70)=3,"Di",
IF(WEEKDAY(B70)=4,"Mi",
IF(WEEKDAY(B70)=5,"Do",
IF(WEEKDAY(B70)=6,"Fr",
IF(WEEKDAY(B70)=7,"Sa"))))))))</f>
        <v/>
      </c>
      <c r="B70" s="8"/>
      <c r="C70" s="9"/>
      <c r="D70" s="10"/>
      <c r="E70" s="9"/>
      <c r="F70" s="10"/>
      <c r="G70" s="97">
        <f t="shared" si="7"/>
        <v>0</v>
      </c>
      <c r="H70" s="94">
        <f>SUMIF(Tabelle1[Tag],Tabelle1[[#This Row],[Tag]],Tabelle1[Stunden])</f>
        <v>0</v>
      </c>
      <c r="I70" s="94" cm="1">
        <f t="array" ref="I70">24*(MAX(IF(EXACT(Tabelle1[Tag],Tabelle1[[#This Row],[Tag]]),Tabelle1[Ende]))
-MIN(IF(EXACT(Tabelle1[Tag],Tabelle1[[#This Row],[Tag]]),Tabelle1[Start])))
-SUMIF(Tabelle1[Tag],Tabelle1[[#This Row],[Tag]],Tabelle1[Stunden])</f>
        <v>0</v>
      </c>
      <c r="J70" s="11"/>
      <c r="K70" s="15"/>
      <c r="L70" s="54"/>
      <c r="M70" s="55" t="str">
        <f>IF(J70&lt;&gt;0,VLOOKUP(J70,Basisdaten!$B$19:$E$26,3,),"")</f>
        <v/>
      </c>
      <c r="N70" s="14" t="str">
        <f>IF(AND(J70&lt;&gt;0,M70="ja"),VLOOKUP(J70,Basisdaten!$B$19:$E$26,4,),"")</f>
        <v/>
      </c>
      <c r="O70" s="14" t="str">
        <f t="shared" si="5"/>
        <v/>
      </c>
      <c r="P70" s="13">
        <f t="shared" si="6"/>
        <v>1</v>
      </c>
      <c r="Q70" s="86">
        <f>TIME(Tabelle1[[#This Row],[Std. Start]],Tabelle1[[#This Row],[Min. Start]],)</f>
        <v>0</v>
      </c>
      <c r="R70" s="86">
        <f>TIME(Tabelle1[[#This Row],[Std. Ende]],Tabelle1[[#This Row],[Min. Ende]],)</f>
        <v>0</v>
      </c>
      <c r="S70" s="86" t="b">
        <f>OR(AND(Tabelle1[[#This Row],[Σ Arbeit p.Tag]]&gt;9,Tabelle1[[#This Row],[Σ Pause p.Tag]]&lt;Basisdaten!$D$14),AND(Tabelle1[[#This Row],[Σ Arbeit p.Tag]]&lt;=9,Tabelle1[[#This Row],[Σ Arbeit p.Tag]]&gt;6,Tabelle1[[#This Row],[Σ Pause p.Tag]]&lt;Basisdaten!$D$13))</f>
        <v>0</v>
      </c>
      <c r="T70" s="86" t="b">
        <f>(Tabelle1[[#This Row],[Σ Arbeit p.Tag]]&gt;Basisdaten!$D$12)</f>
        <v>0</v>
      </c>
    </row>
    <row r="71" spans="1:20" x14ac:dyDescent="0.15">
      <c r="A71" s="7" t="str">
        <f>IF(Tabelle1[[#This Row],[Tag]]=0,"",
IF(WEEKDAY(B71)=1,"So",
IF(WEEKDAY(B71)=2,"Mo",
IF(WEEKDAY(B71)=3,"Di",
IF(WEEKDAY(B71)=4,"Mi",
IF(WEEKDAY(B71)=5,"Do",
IF(WEEKDAY(B71)=6,"Fr",
IF(WEEKDAY(B71)=7,"Sa"))))))))</f>
        <v/>
      </c>
      <c r="B71" s="8"/>
      <c r="C71" s="9"/>
      <c r="D71" s="10"/>
      <c r="E71" s="9"/>
      <c r="F71" s="10"/>
      <c r="G71" s="97">
        <f t="shared" ref="G71:G86" si="8">ROUND((E71*60+F71-C71*60-D71)/60,2)</f>
        <v>0</v>
      </c>
      <c r="H71" s="94">
        <f>SUMIF(Tabelle1[Tag],Tabelle1[[#This Row],[Tag]],Tabelle1[Stunden])</f>
        <v>0</v>
      </c>
      <c r="I71" s="94" cm="1">
        <f t="array" ref="I71">24*(MAX(IF(EXACT(Tabelle1[Tag],Tabelle1[[#This Row],[Tag]]),Tabelle1[Ende]))
-MIN(IF(EXACT(Tabelle1[Tag],Tabelle1[[#This Row],[Tag]]),Tabelle1[Start])))
-SUMIF(Tabelle1[Tag],Tabelle1[[#This Row],[Tag]],Tabelle1[Stunden])</f>
        <v>0</v>
      </c>
      <c r="J71" s="11"/>
      <c r="K71" s="15"/>
      <c r="L71" s="54"/>
      <c r="M71" s="55" t="str">
        <f>IF(J71&lt;&gt;0,VLOOKUP(J71,Basisdaten!$B$19:$E$26,3,),"")</f>
        <v/>
      </c>
      <c r="N71" s="14" t="str">
        <f>IF(AND(J71&lt;&gt;0,M71="ja"),VLOOKUP(J71,Basisdaten!$B$19:$E$26,4,),"")</f>
        <v/>
      </c>
      <c r="O71" s="14" t="str">
        <f t="shared" si="5"/>
        <v/>
      </c>
      <c r="P71" s="13">
        <f t="shared" si="6"/>
        <v>1</v>
      </c>
      <c r="Q71" s="86">
        <f>TIME(Tabelle1[[#This Row],[Std. Start]],Tabelle1[[#This Row],[Min. Start]],)</f>
        <v>0</v>
      </c>
      <c r="R71" s="86">
        <f>TIME(Tabelle1[[#This Row],[Std. Ende]],Tabelle1[[#This Row],[Min. Ende]],)</f>
        <v>0</v>
      </c>
      <c r="S71" s="86" t="b">
        <f>OR(AND(Tabelle1[[#This Row],[Σ Arbeit p.Tag]]&gt;9,Tabelle1[[#This Row],[Σ Pause p.Tag]]&lt;Basisdaten!$D$14),AND(Tabelle1[[#This Row],[Σ Arbeit p.Tag]]&lt;=9,Tabelle1[[#This Row],[Σ Arbeit p.Tag]]&gt;6,Tabelle1[[#This Row],[Σ Pause p.Tag]]&lt;Basisdaten!$D$13))</f>
        <v>0</v>
      </c>
      <c r="T71" s="86" t="b">
        <f>(Tabelle1[[#This Row],[Σ Arbeit p.Tag]]&gt;Basisdaten!$D$12)</f>
        <v>0</v>
      </c>
    </row>
    <row r="72" spans="1:20" x14ac:dyDescent="0.15">
      <c r="A72" s="7" t="str">
        <f>IF(Tabelle1[[#This Row],[Tag]]=0,"",
IF(WEEKDAY(B72)=1,"So",
IF(WEEKDAY(B72)=2,"Mo",
IF(WEEKDAY(B72)=3,"Di",
IF(WEEKDAY(B72)=4,"Mi",
IF(WEEKDAY(B72)=5,"Do",
IF(WEEKDAY(B72)=6,"Fr",
IF(WEEKDAY(B72)=7,"Sa"))))))))</f>
        <v/>
      </c>
      <c r="B72" s="8"/>
      <c r="C72" s="9"/>
      <c r="D72" s="10"/>
      <c r="E72" s="9"/>
      <c r="F72" s="10"/>
      <c r="G72" s="97">
        <f t="shared" si="8"/>
        <v>0</v>
      </c>
      <c r="H72" s="94">
        <f>SUMIF(Tabelle1[Tag],Tabelle1[[#This Row],[Tag]],Tabelle1[Stunden])</f>
        <v>0</v>
      </c>
      <c r="I72" s="94" cm="1">
        <f t="array" ref="I72">24*(MAX(IF(EXACT(Tabelle1[Tag],Tabelle1[[#This Row],[Tag]]),Tabelle1[Ende]))
-MIN(IF(EXACT(Tabelle1[Tag],Tabelle1[[#This Row],[Tag]]),Tabelle1[Start])))
-SUMIF(Tabelle1[Tag],Tabelle1[[#This Row],[Tag]],Tabelle1[Stunden])</f>
        <v>0</v>
      </c>
      <c r="J72" s="11"/>
      <c r="K72" s="15"/>
      <c r="L72" s="54"/>
      <c r="M72" s="55" t="str">
        <f>IF(J72&lt;&gt;0,VLOOKUP(J72,Basisdaten!$B$19:$E$26,3,),"")</f>
        <v/>
      </c>
      <c r="N72" s="14" t="str">
        <f>IF(AND(J72&lt;&gt;0,M72="ja"),VLOOKUP(J72,Basisdaten!$B$19:$E$26,4,),"")</f>
        <v/>
      </c>
      <c r="O72" s="14" t="str">
        <f t="shared" ref="O72:O103" si="9">IF(M72="ja",N72*G72,"")</f>
        <v/>
      </c>
      <c r="P72" s="13">
        <f t="shared" si="6"/>
        <v>1</v>
      </c>
      <c r="Q72" s="86">
        <f>TIME(Tabelle1[[#This Row],[Std. Start]],Tabelle1[[#This Row],[Min. Start]],)</f>
        <v>0</v>
      </c>
      <c r="R72" s="86">
        <f>TIME(Tabelle1[[#This Row],[Std. Ende]],Tabelle1[[#This Row],[Min. Ende]],)</f>
        <v>0</v>
      </c>
      <c r="S72" s="86" t="b">
        <f>OR(AND(Tabelle1[[#This Row],[Σ Arbeit p.Tag]]&gt;9,Tabelle1[[#This Row],[Σ Pause p.Tag]]&lt;Basisdaten!$D$14),AND(Tabelle1[[#This Row],[Σ Arbeit p.Tag]]&lt;=9,Tabelle1[[#This Row],[Σ Arbeit p.Tag]]&gt;6,Tabelle1[[#This Row],[Σ Pause p.Tag]]&lt;Basisdaten!$D$13))</f>
        <v>0</v>
      </c>
      <c r="T72" s="86" t="b">
        <f>(Tabelle1[[#This Row],[Σ Arbeit p.Tag]]&gt;Basisdaten!$D$12)</f>
        <v>0</v>
      </c>
    </row>
    <row r="73" spans="1:20" x14ac:dyDescent="0.15">
      <c r="A73" s="7" t="str">
        <f>IF(Tabelle1[[#This Row],[Tag]]=0,"",
IF(WEEKDAY(B73)=1,"So",
IF(WEEKDAY(B73)=2,"Mo",
IF(WEEKDAY(B73)=3,"Di",
IF(WEEKDAY(B73)=4,"Mi",
IF(WEEKDAY(B73)=5,"Do",
IF(WEEKDAY(B73)=6,"Fr",
IF(WEEKDAY(B73)=7,"Sa"))))))))</f>
        <v/>
      </c>
      <c r="B73" s="8"/>
      <c r="C73" s="9"/>
      <c r="D73" s="10"/>
      <c r="E73" s="9"/>
      <c r="F73" s="10"/>
      <c r="G73" s="97">
        <f t="shared" si="8"/>
        <v>0</v>
      </c>
      <c r="H73" s="94">
        <f>SUMIF(Tabelle1[Tag],Tabelle1[[#This Row],[Tag]],Tabelle1[Stunden])</f>
        <v>0</v>
      </c>
      <c r="I73" s="94" cm="1">
        <f t="array" ref="I73">24*(MAX(IF(EXACT(Tabelle1[Tag],Tabelle1[[#This Row],[Tag]]),Tabelle1[Ende]))
-MIN(IF(EXACT(Tabelle1[Tag],Tabelle1[[#This Row],[Tag]]),Tabelle1[Start])))
-SUMIF(Tabelle1[Tag],Tabelle1[[#This Row],[Tag]],Tabelle1[Stunden])</f>
        <v>0</v>
      </c>
      <c r="J73" s="11"/>
      <c r="K73" s="15"/>
      <c r="L73" s="54"/>
      <c r="M73" s="55" t="str">
        <f>IF(J73&lt;&gt;0,VLOOKUP(J73,Basisdaten!$B$19:$E$26,3,),"")</f>
        <v/>
      </c>
      <c r="N73" s="14" t="str">
        <f>IF(AND(J73&lt;&gt;0,M73="ja"),VLOOKUP(J73,Basisdaten!$B$19:$E$26,4,),"")</f>
        <v/>
      </c>
      <c r="O73" s="14" t="str">
        <f t="shared" si="9"/>
        <v/>
      </c>
      <c r="P73" s="13">
        <f t="shared" si="6"/>
        <v>1</v>
      </c>
      <c r="Q73" s="86">
        <f>TIME(Tabelle1[[#This Row],[Std. Start]],Tabelle1[[#This Row],[Min. Start]],)</f>
        <v>0</v>
      </c>
      <c r="R73" s="86">
        <f>TIME(Tabelle1[[#This Row],[Std. Ende]],Tabelle1[[#This Row],[Min. Ende]],)</f>
        <v>0</v>
      </c>
      <c r="S73" s="86" t="b">
        <f>OR(AND(Tabelle1[[#This Row],[Σ Arbeit p.Tag]]&gt;9,Tabelle1[[#This Row],[Σ Pause p.Tag]]&lt;Basisdaten!$D$14),AND(Tabelle1[[#This Row],[Σ Arbeit p.Tag]]&lt;=9,Tabelle1[[#This Row],[Σ Arbeit p.Tag]]&gt;6,Tabelle1[[#This Row],[Σ Pause p.Tag]]&lt;Basisdaten!$D$13))</f>
        <v>0</v>
      </c>
      <c r="T73" s="86" t="b">
        <f>(Tabelle1[[#This Row],[Σ Arbeit p.Tag]]&gt;Basisdaten!$D$12)</f>
        <v>0</v>
      </c>
    </row>
    <row r="74" spans="1:20" x14ac:dyDescent="0.15">
      <c r="A74" s="7" t="str">
        <f>IF(Tabelle1[[#This Row],[Tag]]=0,"",
IF(WEEKDAY(B74)=1,"So",
IF(WEEKDAY(B74)=2,"Mo",
IF(WEEKDAY(B74)=3,"Di",
IF(WEEKDAY(B74)=4,"Mi",
IF(WEEKDAY(B74)=5,"Do",
IF(WEEKDAY(B74)=6,"Fr",
IF(WEEKDAY(B74)=7,"Sa"))))))))</f>
        <v/>
      </c>
      <c r="B74" s="8"/>
      <c r="C74" s="9"/>
      <c r="D74" s="10"/>
      <c r="E74" s="9"/>
      <c r="F74" s="10"/>
      <c r="G74" s="97">
        <f t="shared" si="8"/>
        <v>0</v>
      </c>
      <c r="H74" s="94">
        <f>SUMIF(Tabelle1[Tag],Tabelle1[[#This Row],[Tag]],Tabelle1[Stunden])</f>
        <v>0</v>
      </c>
      <c r="I74" s="94" cm="1">
        <f t="array" ref="I74">24*(MAX(IF(EXACT(Tabelle1[Tag],Tabelle1[[#This Row],[Tag]]),Tabelle1[Ende]))
-MIN(IF(EXACT(Tabelle1[Tag],Tabelle1[[#This Row],[Tag]]),Tabelle1[Start])))
-SUMIF(Tabelle1[Tag],Tabelle1[[#This Row],[Tag]],Tabelle1[Stunden])</f>
        <v>0</v>
      </c>
      <c r="J74" s="11"/>
      <c r="K74" s="15"/>
      <c r="L74" s="54"/>
      <c r="M74" s="55" t="str">
        <f>IF(J74&lt;&gt;0,VLOOKUP(J74,Basisdaten!$B$19:$E$26,3,),"")</f>
        <v/>
      </c>
      <c r="N74" s="14" t="str">
        <f>IF(AND(J74&lt;&gt;0,M74="ja"),VLOOKUP(J74,Basisdaten!$B$19:$E$26,4,),"")</f>
        <v/>
      </c>
      <c r="O74" s="14" t="str">
        <f t="shared" si="9"/>
        <v/>
      </c>
      <c r="P74" s="13">
        <f t="shared" ref="P74:P94" si="10">MONTH(B74)</f>
        <v>1</v>
      </c>
      <c r="Q74" s="86">
        <f>TIME(Tabelle1[[#This Row],[Std. Start]],Tabelle1[[#This Row],[Min. Start]],)</f>
        <v>0</v>
      </c>
      <c r="R74" s="86">
        <f>TIME(Tabelle1[[#This Row],[Std. Ende]],Tabelle1[[#This Row],[Min. Ende]],)</f>
        <v>0</v>
      </c>
      <c r="S74" s="86" t="b">
        <f>OR(AND(Tabelle1[[#This Row],[Σ Arbeit p.Tag]]&gt;9,Tabelle1[[#This Row],[Σ Pause p.Tag]]&lt;Basisdaten!$D$14),AND(Tabelle1[[#This Row],[Σ Arbeit p.Tag]]&lt;=9,Tabelle1[[#This Row],[Σ Arbeit p.Tag]]&gt;6,Tabelle1[[#This Row],[Σ Pause p.Tag]]&lt;Basisdaten!$D$13))</f>
        <v>0</v>
      </c>
      <c r="T74" s="86" t="b">
        <f>(Tabelle1[[#This Row],[Σ Arbeit p.Tag]]&gt;Basisdaten!$D$12)</f>
        <v>0</v>
      </c>
    </row>
    <row r="75" spans="1:20" x14ac:dyDescent="0.15">
      <c r="A75" s="7" t="str">
        <f>IF(Tabelle1[[#This Row],[Tag]]=0,"",
IF(WEEKDAY(B75)=1,"So",
IF(WEEKDAY(B75)=2,"Mo",
IF(WEEKDAY(B75)=3,"Di",
IF(WEEKDAY(B75)=4,"Mi",
IF(WEEKDAY(B75)=5,"Do",
IF(WEEKDAY(B75)=6,"Fr",
IF(WEEKDAY(B75)=7,"Sa"))))))))</f>
        <v/>
      </c>
      <c r="B75" s="8"/>
      <c r="C75" s="9"/>
      <c r="D75" s="10"/>
      <c r="E75" s="9"/>
      <c r="F75" s="10"/>
      <c r="G75" s="97">
        <f t="shared" si="8"/>
        <v>0</v>
      </c>
      <c r="H75" s="94">
        <f>SUMIF(Tabelle1[Tag],Tabelle1[[#This Row],[Tag]],Tabelle1[Stunden])</f>
        <v>0</v>
      </c>
      <c r="I75" s="94" cm="1">
        <f t="array" ref="I75">24*(MAX(IF(EXACT(Tabelle1[Tag],Tabelle1[[#This Row],[Tag]]),Tabelle1[Ende]))
-MIN(IF(EXACT(Tabelle1[Tag],Tabelle1[[#This Row],[Tag]]),Tabelle1[Start])))
-SUMIF(Tabelle1[Tag],Tabelle1[[#This Row],[Tag]],Tabelle1[Stunden])</f>
        <v>0</v>
      </c>
      <c r="J75" s="11"/>
      <c r="K75" s="15"/>
      <c r="L75" s="54"/>
      <c r="M75" s="55" t="str">
        <f>IF(J75&lt;&gt;0,VLOOKUP(J75,Basisdaten!$B$19:$E$26,3,),"")</f>
        <v/>
      </c>
      <c r="N75" s="14" t="str">
        <f>IF(AND(J75&lt;&gt;0,M75="ja"),VLOOKUP(J75,Basisdaten!$B$19:$E$26,4,),"")</f>
        <v/>
      </c>
      <c r="O75" s="14" t="str">
        <f t="shared" si="9"/>
        <v/>
      </c>
      <c r="P75" s="13">
        <f t="shared" si="10"/>
        <v>1</v>
      </c>
      <c r="Q75" s="86">
        <f>TIME(Tabelle1[[#This Row],[Std. Start]],Tabelle1[[#This Row],[Min. Start]],)</f>
        <v>0</v>
      </c>
      <c r="R75" s="86">
        <f>TIME(Tabelle1[[#This Row],[Std. Ende]],Tabelle1[[#This Row],[Min. Ende]],)</f>
        <v>0</v>
      </c>
      <c r="S75" s="86" t="b">
        <f>OR(AND(Tabelle1[[#This Row],[Σ Arbeit p.Tag]]&gt;9,Tabelle1[[#This Row],[Σ Pause p.Tag]]&lt;Basisdaten!$D$14),AND(Tabelle1[[#This Row],[Σ Arbeit p.Tag]]&lt;=9,Tabelle1[[#This Row],[Σ Arbeit p.Tag]]&gt;6,Tabelle1[[#This Row],[Σ Pause p.Tag]]&lt;Basisdaten!$D$13))</f>
        <v>0</v>
      </c>
      <c r="T75" s="86" t="b">
        <f>(Tabelle1[[#This Row],[Σ Arbeit p.Tag]]&gt;Basisdaten!$D$12)</f>
        <v>0</v>
      </c>
    </row>
    <row r="76" spans="1:20" x14ac:dyDescent="0.15">
      <c r="A76" s="7" t="str">
        <f>IF(Tabelle1[[#This Row],[Tag]]=0,"",
IF(WEEKDAY(B76)=1,"So",
IF(WEEKDAY(B76)=2,"Mo",
IF(WEEKDAY(B76)=3,"Di",
IF(WEEKDAY(B76)=4,"Mi",
IF(WEEKDAY(B76)=5,"Do",
IF(WEEKDAY(B76)=6,"Fr",
IF(WEEKDAY(B76)=7,"Sa"))))))))</f>
        <v/>
      </c>
      <c r="B76" s="8"/>
      <c r="C76" s="9"/>
      <c r="D76" s="10"/>
      <c r="E76" s="9"/>
      <c r="F76" s="10"/>
      <c r="G76" s="97">
        <f t="shared" si="8"/>
        <v>0</v>
      </c>
      <c r="H76" s="94">
        <f>SUMIF(Tabelle1[Tag],Tabelle1[[#This Row],[Tag]],Tabelle1[Stunden])</f>
        <v>0</v>
      </c>
      <c r="I76" s="94" cm="1">
        <f t="array" ref="I76">24*(MAX(IF(EXACT(Tabelle1[Tag],Tabelle1[[#This Row],[Tag]]),Tabelle1[Ende]))
-MIN(IF(EXACT(Tabelle1[Tag],Tabelle1[[#This Row],[Tag]]),Tabelle1[Start])))
-SUMIF(Tabelle1[Tag],Tabelle1[[#This Row],[Tag]],Tabelle1[Stunden])</f>
        <v>0</v>
      </c>
      <c r="J76" s="11"/>
      <c r="K76" s="15"/>
      <c r="L76" s="54"/>
      <c r="M76" s="55" t="str">
        <f>IF(J76&lt;&gt;0,VLOOKUP(J76,Basisdaten!$B$19:$E$26,3,),"")</f>
        <v/>
      </c>
      <c r="N76" s="14" t="str">
        <f>IF(AND(J76&lt;&gt;0,M76="ja"),VLOOKUP(J76,Basisdaten!$B$19:$E$26,4,),"")</f>
        <v/>
      </c>
      <c r="O76" s="14" t="str">
        <f t="shared" si="9"/>
        <v/>
      </c>
      <c r="P76" s="13">
        <f t="shared" si="10"/>
        <v>1</v>
      </c>
      <c r="Q76" s="86">
        <f>TIME(Tabelle1[[#This Row],[Std. Start]],Tabelle1[[#This Row],[Min. Start]],)</f>
        <v>0</v>
      </c>
      <c r="R76" s="86">
        <f>TIME(Tabelle1[[#This Row],[Std. Ende]],Tabelle1[[#This Row],[Min. Ende]],)</f>
        <v>0</v>
      </c>
      <c r="S76" s="86" t="b">
        <f>OR(AND(Tabelle1[[#This Row],[Σ Arbeit p.Tag]]&gt;9,Tabelle1[[#This Row],[Σ Pause p.Tag]]&lt;Basisdaten!$D$14),AND(Tabelle1[[#This Row],[Σ Arbeit p.Tag]]&lt;=9,Tabelle1[[#This Row],[Σ Arbeit p.Tag]]&gt;6,Tabelle1[[#This Row],[Σ Pause p.Tag]]&lt;Basisdaten!$D$13))</f>
        <v>0</v>
      </c>
      <c r="T76" s="86" t="b">
        <f>(Tabelle1[[#This Row],[Σ Arbeit p.Tag]]&gt;Basisdaten!$D$12)</f>
        <v>0</v>
      </c>
    </row>
    <row r="77" spans="1:20" x14ac:dyDescent="0.15">
      <c r="A77" s="7" t="str">
        <f>IF(Tabelle1[[#This Row],[Tag]]=0,"",
IF(WEEKDAY(B77)=1,"So",
IF(WEEKDAY(B77)=2,"Mo",
IF(WEEKDAY(B77)=3,"Di",
IF(WEEKDAY(B77)=4,"Mi",
IF(WEEKDAY(B77)=5,"Do",
IF(WEEKDAY(B77)=6,"Fr",
IF(WEEKDAY(B77)=7,"Sa"))))))))</f>
        <v/>
      </c>
      <c r="B77" s="8"/>
      <c r="C77" s="9"/>
      <c r="D77" s="10"/>
      <c r="E77" s="9"/>
      <c r="F77" s="10"/>
      <c r="G77" s="97">
        <f t="shared" si="8"/>
        <v>0</v>
      </c>
      <c r="H77" s="94">
        <f>SUMIF(Tabelle1[Tag],Tabelle1[[#This Row],[Tag]],Tabelle1[Stunden])</f>
        <v>0</v>
      </c>
      <c r="I77" s="94" cm="1">
        <f t="array" ref="I77">24*(MAX(IF(EXACT(Tabelle1[Tag],Tabelle1[[#This Row],[Tag]]),Tabelle1[Ende]))
-MIN(IF(EXACT(Tabelle1[Tag],Tabelle1[[#This Row],[Tag]]),Tabelle1[Start])))
-SUMIF(Tabelle1[Tag],Tabelle1[[#This Row],[Tag]],Tabelle1[Stunden])</f>
        <v>0</v>
      </c>
      <c r="J77" s="11"/>
      <c r="K77" s="15"/>
      <c r="L77" s="54"/>
      <c r="M77" s="55" t="str">
        <f>IF(J77&lt;&gt;0,VLOOKUP(J77,Basisdaten!$B$19:$E$26,3,),"")</f>
        <v/>
      </c>
      <c r="N77" s="14" t="str">
        <f>IF(AND(J77&lt;&gt;0,M77="ja"),VLOOKUP(J77,Basisdaten!$B$19:$E$26,4,),"")</f>
        <v/>
      </c>
      <c r="O77" s="14" t="str">
        <f t="shared" si="9"/>
        <v/>
      </c>
      <c r="P77" s="13">
        <f t="shared" si="10"/>
        <v>1</v>
      </c>
      <c r="Q77" s="86">
        <f>TIME(Tabelle1[[#This Row],[Std. Start]],Tabelle1[[#This Row],[Min. Start]],)</f>
        <v>0</v>
      </c>
      <c r="R77" s="86">
        <f>TIME(Tabelle1[[#This Row],[Std. Ende]],Tabelle1[[#This Row],[Min. Ende]],)</f>
        <v>0</v>
      </c>
      <c r="S77" s="86" t="b">
        <f>OR(AND(Tabelle1[[#This Row],[Σ Arbeit p.Tag]]&gt;9,Tabelle1[[#This Row],[Σ Pause p.Tag]]&lt;Basisdaten!$D$14),AND(Tabelle1[[#This Row],[Σ Arbeit p.Tag]]&lt;=9,Tabelle1[[#This Row],[Σ Arbeit p.Tag]]&gt;6,Tabelle1[[#This Row],[Σ Pause p.Tag]]&lt;Basisdaten!$D$13))</f>
        <v>0</v>
      </c>
      <c r="T77" s="86" t="b">
        <f>(Tabelle1[[#This Row],[Σ Arbeit p.Tag]]&gt;Basisdaten!$D$12)</f>
        <v>0</v>
      </c>
    </row>
    <row r="78" spans="1:20" x14ac:dyDescent="0.15">
      <c r="A78" s="7" t="str">
        <f>IF(Tabelle1[[#This Row],[Tag]]=0,"",
IF(WEEKDAY(B78)=1,"So",
IF(WEEKDAY(B78)=2,"Mo",
IF(WEEKDAY(B78)=3,"Di",
IF(WEEKDAY(B78)=4,"Mi",
IF(WEEKDAY(B78)=5,"Do",
IF(WEEKDAY(B78)=6,"Fr",
IF(WEEKDAY(B78)=7,"Sa"))))))))</f>
        <v/>
      </c>
      <c r="B78" s="8"/>
      <c r="C78" s="9"/>
      <c r="D78" s="10"/>
      <c r="E78" s="9"/>
      <c r="F78" s="10"/>
      <c r="G78" s="97">
        <f t="shared" si="8"/>
        <v>0</v>
      </c>
      <c r="H78" s="94">
        <f>SUMIF(Tabelle1[Tag],Tabelle1[[#This Row],[Tag]],Tabelle1[Stunden])</f>
        <v>0</v>
      </c>
      <c r="I78" s="94" cm="1">
        <f t="array" ref="I78">24*(MAX(IF(EXACT(Tabelle1[Tag],Tabelle1[[#This Row],[Tag]]),Tabelle1[Ende]))
-MIN(IF(EXACT(Tabelle1[Tag],Tabelle1[[#This Row],[Tag]]),Tabelle1[Start])))
-SUMIF(Tabelle1[Tag],Tabelle1[[#This Row],[Tag]],Tabelle1[Stunden])</f>
        <v>0</v>
      </c>
      <c r="J78" s="11"/>
      <c r="K78" s="15"/>
      <c r="L78" s="54"/>
      <c r="M78" s="55" t="str">
        <f>IF(J78&lt;&gt;0,VLOOKUP(J78,Basisdaten!$B$19:$E$26,3,),"")</f>
        <v/>
      </c>
      <c r="N78" s="14" t="str">
        <f>IF(AND(J78&lt;&gt;0,M78="ja"),VLOOKUP(J78,Basisdaten!$B$19:$E$26,4,),"")</f>
        <v/>
      </c>
      <c r="O78" s="14" t="str">
        <f t="shared" si="9"/>
        <v/>
      </c>
      <c r="P78" s="13">
        <f t="shared" si="10"/>
        <v>1</v>
      </c>
      <c r="Q78" s="86">
        <f>TIME(Tabelle1[[#This Row],[Std. Start]],Tabelle1[[#This Row],[Min. Start]],)</f>
        <v>0</v>
      </c>
      <c r="R78" s="86">
        <f>TIME(Tabelle1[[#This Row],[Std. Ende]],Tabelle1[[#This Row],[Min. Ende]],)</f>
        <v>0</v>
      </c>
      <c r="S78" s="86" t="b">
        <f>OR(AND(Tabelle1[[#This Row],[Σ Arbeit p.Tag]]&gt;9,Tabelle1[[#This Row],[Σ Pause p.Tag]]&lt;Basisdaten!$D$14),AND(Tabelle1[[#This Row],[Σ Arbeit p.Tag]]&lt;=9,Tabelle1[[#This Row],[Σ Arbeit p.Tag]]&gt;6,Tabelle1[[#This Row],[Σ Pause p.Tag]]&lt;Basisdaten!$D$13))</f>
        <v>0</v>
      </c>
      <c r="T78" s="86" t="b">
        <f>(Tabelle1[[#This Row],[Σ Arbeit p.Tag]]&gt;Basisdaten!$D$12)</f>
        <v>0</v>
      </c>
    </row>
    <row r="79" spans="1:20" x14ac:dyDescent="0.15">
      <c r="A79" s="7" t="str">
        <f>IF(Tabelle1[[#This Row],[Tag]]=0,"",
IF(WEEKDAY(B79)=1,"So",
IF(WEEKDAY(B79)=2,"Mo",
IF(WEEKDAY(B79)=3,"Di",
IF(WEEKDAY(B79)=4,"Mi",
IF(WEEKDAY(B79)=5,"Do",
IF(WEEKDAY(B79)=6,"Fr",
IF(WEEKDAY(B79)=7,"Sa"))))))))</f>
        <v/>
      </c>
      <c r="B79" s="8"/>
      <c r="C79" s="9"/>
      <c r="D79" s="10"/>
      <c r="E79" s="9"/>
      <c r="F79" s="10"/>
      <c r="G79" s="97">
        <f t="shared" si="8"/>
        <v>0</v>
      </c>
      <c r="H79" s="94">
        <f>SUMIF(Tabelle1[Tag],Tabelle1[[#This Row],[Tag]],Tabelle1[Stunden])</f>
        <v>0</v>
      </c>
      <c r="I79" s="94" cm="1">
        <f t="array" ref="I79">24*(MAX(IF(EXACT(Tabelle1[Tag],Tabelle1[[#This Row],[Tag]]),Tabelle1[Ende]))
-MIN(IF(EXACT(Tabelle1[Tag],Tabelle1[[#This Row],[Tag]]),Tabelle1[Start])))
-SUMIF(Tabelle1[Tag],Tabelle1[[#This Row],[Tag]],Tabelle1[Stunden])</f>
        <v>0</v>
      </c>
      <c r="J79" s="11"/>
      <c r="K79" s="15"/>
      <c r="L79" s="54"/>
      <c r="M79" s="55" t="str">
        <f>IF(J79&lt;&gt;0,VLOOKUP(J79,Basisdaten!$B$19:$E$26,3,),"")</f>
        <v/>
      </c>
      <c r="N79" s="14" t="str">
        <f>IF(AND(J79&lt;&gt;0,M79="ja"),VLOOKUP(J79,Basisdaten!$B$19:$E$26,4,),"")</f>
        <v/>
      </c>
      <c r="O79" s="14" t="str">
        <f t="shared" si="9"/>
        <v/>
      </c>
      <c r="P79" s="13">
        <f t="shared" si="10"/>
        <v>1</v>
      </c>
      <c r="Q79" s="86">
        <f>TIME(Tabelle1[[#This Row],[Std. Start]],Tabelle1[[#This Row],[Min. Start]],)</f>
        <v>0</v>
      </c>
      <c r="R79" s="86">
        <f>TIME(Tabelle1[[#This Row],[Std. Ende]],Tabelle1[[#This Row],[Min. Ende]],)</f>
        <v>0</v>
      </c>
      <c r="S79" s="86" t="b">
        <f>OR(AND(Tabelle1[[#This Row],[Σ Arbeit p.Tag]]&gt;9,Tabelle1[[#This Row],[Σ Pause p.Tag]]&lt;Basisdaten!$D$14),AND(Tabelle1[[#This Row],[Σ Arbeit p.Tag]]&lt;=9,Tabelle1[[#This Row],[Σ Arbeit p.Tag]]&gt;6,Tabelle1[[#This Row],[Σ Pause p.Tag]]&lt;Basisdaten!$D$13))</f>
        <v>0</v>
      </c>
      <c r="T79" s="86" t="b">
        <f>(Tabelle1[[#This Row],[Σ Arbeit p.Tag]]&gt;Basisdaten!$D$12)</f>
        <v>0</v>
      </c>
    </row>
    <row r="80" spans="1:20" x14ac:dyDescent="0.15">
      <c r="A80" s="7" t="str">
        <f>IF(Tabelle1[[#This Row],[Tag]]=0,"",
IF(WEEKDAY(B80)=1,"So",
IF(WEEKDAY(B80)=2,"Mo",
IF(WEEKDAY(B80)=3,"Di",
IF(WEEKDAY(B80)=4,"Mi",
IF(WEEKDAY(B80)=5,"Do",
IF(WEEKDAY(B80)=6,"Fr",
IF(WEEKDAY(B80)=7,"Sa"))))))))</f>
        <v/>
      </c>
      <c r="B80" s="8"/>
      <c r="C80" s="9"/>
      <c r="D80" s="10"/>
      <c r="E80" s="9"/>
      <c r="F80" s="10"/>
      <c r="G80" s="97">
        <f t="shared" si="8"/>
        <v>0</v>
      </c>
      <c r="H80" s="94">
        <f>SUMIF(Tabelle1[Tag],Tabelle1[[#This Row],[Tag]],Tabelle1[Stunden])</f>
        <v>0</v>
      </c>
      <c r="I80" s="94" cm="1">
        <f t="array" ref="I80">24*(MAX(IF(EXACT(Tabelle1[Tag],Tabelle1[[#This Row],[Tag]]),Tabelle1[Ende]))
-MIN(IF(EXACT(Tabelle1[Tag],Tabelle1[[#This Row],[Tag]]),Tabelle1[Start])))
-SUMIF(Tabelle1[Tag],Tabelle1[[#This Row],[Tag]],Tabelle1[Stunden])</f>
        <v>0</v>
      </c>
      <c r="J80" s="11"/>
      <c r="K80" s="15"/>
      <c r="L80" s="54"/>
      <c r="M80" s="55" t="str">
        <f>IF(J80&lt;&gt;0,VLOOKUP(J80,Basisdaten!$B$19:$E$26,3,),"")</f>
        <v/>
      </c>
      <c r="N80" s="14" t="str">
        <f>IF(AND(J80&lt;&gt;0,M80="ja"),VLOOKUP(J80,Basisdaten!$B$19:$E$26,4,),"")</f>
        <v/>
      </c>
      <c r="O80" s="14" t="str">
        <f t="shared" si="9"/>
        <v/>
      </c>
      <c r="P80" s="13">
        <f t="shared" si="10"/>
        <v>1</v>
      </c>
      <c r="Q80" s="86">
        <f>TIME(Tabelle1[[#This Row],[Std. Start]],Tabelle1[[#This Row],[Min. Start]],)</f>
        <v>0</v>
      </c>
      <c r="R80" s="86">
        <f>TIME(Tabelle1[[#This Row],[Std. Ende]],Tabelle1[[#This Row],[Min. Ende]],)</f>
        <v>0</v>
      </c>
      <c r="S80" s="86" t="b">
        <f>OR(AND(Tabelle1[[#This Row],[Σ Arbeit p.Tag]]&gt;9,Tabelle1[[#This Row],[Σ Pause p.Tag]]&lt;Basisdaten!$D$14),AND(Tabelle1[[#This Row],[Σ Arbeit p.Tag]]&lt;=9,Tabelle1[[#This Row],[Σ Arbeit p.Tag]]&gt;6,Tabelle1[[#This Row],[Σ Pause p.Tag]]&lt;Basisdaten!$D$13))</f>
        <v>0</v>
      </c>
      <c r="T80" s="86" t="b">
        <f>(Tabelle1[[#This Row],[Σ Arbeit p.Tag]]&gt;Basisdaten!$D$12)</f>
        <v>0</v>
      </c>
    </row>
    <row r="81" spans="1:20" x14ac:dyDescent="0.15">
      <c r="A81" s="7" t="str">
        <f>IF(Tabelle1[[#This Row],[Tag]]=0,"",
IF(WEEKDAY(B81)=1,"So",
IF(WEEKDAY(B81)=2,"Mo",
IF(WEEKDAY(B81)=3,"Di",
IF(WEEKDAY(B81)=4,"Mi",
IF(WEEKDAY(B81)=5,"Do",
IF(WEEKDAY(B81)=6,"Fr",
IF(WEEKDAY(B81)=7,"Sa"))))))))</f>
        <v/>
      </c>
      <c r="B81" s="8"/>
      <c r="C81" s="9"/>
      <c r="D81" s="10"/>
      <c r="E81" s="9"/>
      <c r="F81" s="10"/>
      <c r="G81" s="97">
        <f t="shared" si="8"/>
        <v>0</v>
      </c>
      <c r="H81" s="94">
        <f>SUMIF(Tabelle1[Tag],Tabelle1[[#This Row],[Tag]],Tabelle1[Stunden])</f>
        <v>0</v>
      </c>
      <c r="I81" s="94" cm="1">
        <f t="array" ref="I81">24*(MAX(IF(EXACT(Tabelle1[Tag],Tabelle1[[#This Row],[Tag]]),Tabelle1[Ende]))
-MIN(IF(EXACT(Tabelle1[Tag],Tabelle1[[#This Row],[Tag]]),Tabelle1[Start])))
-SUMIF(Tabelle1[Tag],Tabelle1[[#This Row],[Tag]],Tabelle1[Stunden])</f>
        <v>0</v>
      </c>
      <c r="J81" s="11"/>
      <c r="K81" s="15"/>
      <c r="L81" s="54"/>
      <c r="M81" s="55" t="str">
        <f>IF(J81&lt;&gt;0,VLOOKUP(J81,Basisdaten!$B$19:$E$26,3,),"")</f>
        <v/>
      </c>
      <c r="N81" s="14" t="str">
        <f>IF(AND(J81&lt;&gt;0,M81="ja"),VLOOKUP(J81,Basisdaten!$B$19:$E$26,4,),"")</f>
        <v/>
      </c>
      <c r="O81" s="14" t="str">
        <f t="shared" si="9"/>
        <v/>
      </c>
      <c r="P81" s="13">
        <f t="shared" si="10"/>
        <v>1</v>
      </c>
      <c r="Q81" s="86">
        <f>TIME(Tabelle1[[#This Row],[Std. Start]],Tabelle1[[#This Row],[Min. Start]],)</f>
        <v>0</v>
      </c>
      <c r="R81" s="86">
        <f>TIME(Tabelle1[[#This Row],[Std. Ende]],Tabelle1[[#This Row],[Min. Ende]],)</f>
        <v>0</v>
      </c>
      <c r="S81" s="86" t="b">
        <f>OR(AND(Tabelle1[[#This Row],[Σ Arbeit p.Tag]]&gt;9,Tabelle1[[#This Row],[Σ Pause p.Tag]]&lt;Basisdaten!$D$14),AND(Tabelle1[[#This Row],[Σ Arbeit p.Tag]]&lt;=9,Tabelle1[[#This Row],[Σ Arbeit p.Tag]]&gt;6,Tabelle1[[#This Row],[Σ Pause p.Tag]]&lt;Basisdaten!$D$13))</f>
        <v>0</v>
      </c>
      <c r="T81" s="86" t="b">
        <f>(Tabelle1[[#This Row],[Σ Arbeit p.Tag]]&gt;Basisdaten!$D$12)</f>
        <v>0</v>
      </c>
    </row>
    <row r="82" spans="1:20" x14ac:dyDescent="0.15">
      <c r="A82" s="7" t="str">
        <f>IF(Tabelle1[[#This Row],[Tag]]=0,"",
IF(WEEKDAY(B82)=1,"So",
IF(WEEKDAY(B82)=2,"Mo",
IF(WEEKDAY(B82)=3,"Di",
IF(WEEKDAY(B82)=4,"Mi",
IF(WEEKDAY(B82)=5,"Do",
IF(WEEKDAY(B82)=6,"Fr",
IF(WEEKDAY(B82)=7,"Sa"))))))))</f>
        <v/>
      </c>
      <c r="B82" s="8"/>
      <c r="C82" s="9"/>
      <c r="D82" s="10"/>
      <c r="E82" s="9"/>
      <c r="F82" s="10"/>
      <c r="G82" s="97">
        <f t="shared" si="8"/>
        <v>0</v>
      </c>
      <c r="H82" s="94">
        <f>SUMIF(Tabelle1[Tag],Tabelle1[[#This Row],[Tag]],Tabelle1[Stunden])</f>
        <v>0</v>
      </c>
      <c r="I82" s="94" cm="1">
        <f t="array" ref="I82">24*(MAX(IF(EXACT(Tabelle1[Tag],Tabelle1[[#This Row],[Tag]]),Tabelle1[Ende]))
-MIN(IF(EXACT(Tabelle1[Tag],Tabelle1[[#This Row],[Tag]]),Tabelle1[Start])))
-SUMIF(Tabelle1[Tag],Tabelle1[[#This Row],[Tag]],Tabelle1[Stunden])</f>
        <v>0</v>
      </c>
      <c r="J82" s="11"/>
      <c r="K82" s="15"/>
      <c r="L82" s="54"/>
      <c r="M82" s="55" t="str">
        <f>IF(J82&lt;&gt;0,VLOOKUP(J82,Basisdaten!$B$19:$E$26,3,),"")</f>
        <v/>
      </c>
      <c r="N82" s="14" t="str">
        <f>IF(AND(J82&lt;&gt;0,M82="ja"),VLOOKUP(J82,Basisdaten!$B$19:$E$26,4,),"")</f>
        <v/>
      </c>
      <c r="O82" s="14" t="str">
        <f t="shared" si="9"/>
        <v/>
      </c>
      <c r="P82" s="13">
        <f t="shared" si="10"/>
        <v>1</v>
      </c>
      <c r="Q82" s="86">
        <f>TIME(Tabelle1[[#This Row],[Std. Start]],Tabelle1[[#This Row],[Min. Start]],)</f>
        <v>0</v>
      </c>
      <c r="R82" s="86">
        <f>TIME(Tabelle1[[#This Row],[Std. Ende]],Tabelle1[[#This Row],[Min. Ende]],)</f>
        <v>0</v>
      </c>
      <c r="S82" s="86" t="b">
        <f>OR(AND(Tabelle1[[#This Row],[Σ Arbeit p.Tag]]&gt;9,Tabelle1[[#This Row],[Σ Pause p.Tag]]&lt;Basisdaten!$D$14),AND(Tabelle1[[#This Row],[Σ Arbeit p.Tag]]&lt;=9,Tabelle1[[#This Row],[Σ Arbeit p.Tag]]&gt;6,Tabelle1[[#This Row],[Σ Pause p.Tag]]&lt;Basisdaten!$D$13))</f>
        <v>0</v>
      </c>
      <c r="T82" s="86" t="b">
        <f>(Tabelle1[[#This Row],[Σ Arbeit p.Tag]]&gt;Basisdaten!$D$12)</f>
        <v>0</v>
      </c>
    </row>
    <row r="83" spans="1:20" x14ac:dyDescent="0.15">
      <c r="A83" s="7" t="str">
        <f>IF(Tabelle1[[#This Row],[Tag]]=0,"",
IF(WEEKDAY(B83)=1,"So",
IF(WEEKDAY(B83)=2,"Mo",
IF(WEEKDAY(B83)=3,"Di",
IF(WEEKDAY(B83)=4,"Mi",
IF(WEEKDAY(B83)=5,"Do",
IF(WEEKDAY(B83)=6,"Fr",
IF(WEEKDAY(B83)=7,"Sa"))))))))</f>
        <v/>
      </c>
      <c r="B83" s="8"/>
      <c r="C83" s="9"/>
      <c r="D83" s="10"/>
      <c r="E83" s="9"/>
      <c r="F83" s="10"/>
      <c r="G83" s="97">
        <f t="shared" si="8"/>
        <v>0</v>
      </c>
      <c r="H83" s="94">
        <f>SUMIF(Tabelle1[Tag],Tabelle1[[#This Row],[Tag]],Tabelle1[Stunden])</f>
        <v>0</v>
      </c>
      <c r="I83" s="94" cm="1">
        <f t="array" ref="I83">24*(MAX(IF(EXACT(Tabelle1[Tag],Tabelle1[[#This Row],[Tag]]),Tabelle1[Ende]))
-MIN(IF(EXACT(Tabelle1[Tag],Tabelle1[[#This Row],[Tag]]),Tabelle1[Start])))
-SUMIF(Tabelle1[Tag],Tabelle1[[#This Row],[Tag]],Tabelle1[Stunden])</f>
        <v>0</v>
      </c>
      <c r="J83" s="11"/>
      <c r="K83" s="15"/>
      <c r="L83" s="54"/>
      <c r="M83" s="55" t="str">
        <f>IF(J83&lt;&gt;0,VLOOKUP(J83,Basisdaten!$B$19:$E$26,3,),"")</f>
        <v/>
      </c>
      <c r="N83" s="14" t="str">
        <f>IF(AND(J83&lt;&gt;0,M83="ja"),VLOOKUP(J83,Basisdaten!$B$19:$E$26,4,),"")</f>
        <v/>
      </c>
      <c r="O83" s="14" t="str">
        <f t="shared" si="9"/>
        <v/>
      </c>
      <c r="P83" s="13">
        <f t="shared" si="10"/>
        <v>1</v>
      </c>
      <c r="Q83" s="86">
        <f>TIME(Tabelle1[[#This Row],[Std. Start]],Tabelle1[[#This Row],[Min. Start]],)</f>
        <v>0</v>
      </c>
      <c r="R83" s="86">
        <f>TIME(Tabelle1[[#This Row],[Std. Ende]],Tabelle1[[#This Row],[Min. Ende]],)</f>
        <v>0</v>
      </c>
      <c r="S83" s="86" t="b">
        <f>OR(AND(Tabelle1[[#This Row],[Σ Arbeit p.Tag]]&gt;9,Tabelle1[[#This Row],[Σ Pause p.Tag]]&lt;Basisdaten!$D$14),AND(Tabelle1[[#This Row],[Σ Arbeit p.Tag]]&lt;=9,Tabelle1[[#This Row],[Σ Arbeit p.Tag]]&gt;6,Tabelle1[[#This Row],[Σ Pause p.Tag]]&lt;Basisdaten!$D$13))</f>
        <v>0</v>
      </c>
      <c r="T83" s="86" t="b">
        <f>(Tabelle1[[#This Row],[Σ Arbeit p.Tag]]&gt;Basisdaten!$D$12)</f>
        <v>0</v>
      </c>
    </row>
    <row r="84" spans="1:20" x14ac:dyDescent="0.15">
      <c r="A84" s="7" t="str">
        <f>IF(Tabelle1[[#This Row],[Tag]]=0,"",
IF(WEEKDAY(B84)=1,"So",
IF(WEEKDAY(B84)=2,"Mo",
IF(WEEKDAY(B84)=3,"Di",
IF(WEEKDAY(B84)=4,"Mi",
IF(WEEKDAY(B84)=5,"Do",
IF(WEEKDAY(B84)=6,"Fr",
IF(WEEKDAY(B84)=7,"Sa"))))))))</f>
        <v/>
      </c>
      <c r="B84" s="8"/>
      <c r="C84" s="9"/>
      <c r="D84" s="10"/>
      <c r="E84" s="9"/>
      <c r="F84" s="10"/>
      <c r="G84" s="97">
        <f t="shared" si="8"/>
        <v>0</v>
      </c>
      <c r="H84" s="94">
        <f>SUMIF(Tabelle1[Tag],Tabelle1[[#This Row],[Tag]],Tabelle1[Stunden])</f>
        <v>0</v>
      </c>
      <c r="I84" s="94" cm="1">
        <f t="array" ref="I84">24*(MAX(IF(EXACT(Tabelle1[Tag],Tabelle1[[#This Row],[Tag]]),Tabelle1[Ende]))
-MIN(IF(EXACT(Tabelle1[Tag],Tabelle1[[#This Row],[Tag]]),Tabelle1[Start])))
-SUMIF(Tabelle1[Tag],Tabelle1[[#This Row],[Tag]],Tabelle1[Stunden])</f>
        <v>0</v>
      </c>
      <c r="J84" s="11"/>
      <c r="K84" s="15"/>
      <c r="L84" s="54"/>
      <c r="M84" s="55" t="str">
        <f>IF(J84&lt;&gt;0,VLOOKUP(J84,Basisdaten!$B$19:$E$26,3,),"")</f>
        <v/>
      </c>
      <c r="N84" s="14" t="str">
        <f>IF(AND(J84&lt;&gt;0,M84="ja"),VLOOKUP(J84,Basisdaten!$B$19:$E$26,4,),"")</f>
        <v/>
      </c>
      <c r="O84" s="14" t="str">
        <f t="shared" si="9"/>
        <v/>
      </c>
      <c r="P84" s="13">
        <f t="shared" si="10"/>
        <v>1</v>
      </c>
      <c r="Q84" s="86">
        <f>TIME(Tabelle1[[#This Row],[Std. Start]],Tabelle1[[#This Row],[Min. Start]],)</f>
        <v>0</v>
      </c>
      <c r="R84" s="86">
        <f>TIME(Tabelle1[[#This Row],[Std. Ende]],Tabelle1[[#This Row],[Min. Ende]],)</f>
        <v>0</v>
      </c>
      <c r="S84" s="86" t="b">
        <f>OR(AND(Tabelle1[[#This Row],[Σ Arbeit p.Tag]]&gt;9,Tabelle1[[#This Row],[Σ Pause p.Tag]]&lt;Basisdaten!$D$14),AND(Tabelle1[[#This Row],[Σ Arbeit p.Tag]]&lt;=9,Tabelle1[[#This Row],[Σ Arbeit p.Tag]]&gt;6,Tabelle1[[#This Row],[Σ Pause p.Tag]]&lt;Basisdaten!$D$13))</f>
        <v>0</v>
      </c>
      <c r="T84" s="86" t="b">
        <f>(Tabelle1[[#This Row],[Σ Arbeit p.Tag]]&gt;Basisdaten!$D$12)</f>
        <v>0</v>
      </c>
    </row>
    <row r="85" spans="1:20" x14ac:dyDescent="0.15">
      <c r="A85" s="7" t="str">
        <f>IF(Tabelle1[[#This Row],[Tag]]=0,"",
IF(WEEKDAY(B85)=1,"So",
IF(WEEKDAY(B85)=2,"Mo",
IF(WEEKDAY(B85)=3,"Di",
IF(WEEKDAY(B85)=4,"Mi",
IF(WEEKDAY(B85)=5,"Do",
IF(WEEKDAY(B85)=6,"Fr",
IF(WEEKDAY(B85)=7,"Sa"))))))))</f>
        <v/>
      </c>
      <c r="B85" s="8"/>
      <c r="C85" s="9"/>
      <c r="D85" s="10"/>
      <c r="E85" s="9"/>
      <c r="F85" s="10"/>
      <c r="G85" s="97">
        <f t="shared" si="8"/>
        <v>0</v>
      </c>
      <c r="H85" s="94">
        <f>SUMIF(Tabelle1[Tag],Tabelle1[[#This Row],[Tag]],Tabelle1[Stunden])</f>
        <v>0</v>
      </c>
      <c r="I85" s="94" cm="1">
        <f t="array" ref="I85">24*(MAX(IF(EXACT(Tabelle1[Tag],Tabelle1[[#This Row],[Tag]]),Tabelle1[Ende]))
-MIN(IF(EXACT(Tabelle1[Tag],Tabelle1[[#This Row],[Tag]]),Tabelle1[Start])))
-SUMIF(Tabelle1[Tag],Tabelle1[[#This Row],[Tag]],Tabelle1[Stunden])</f>
        <v>0</v>
      </c>
      <c r="J85" s="11"/>
      <c r="K85" s="15"/>
      <c r="L85" s="54"/>
      <c r="M85" s="55" t="str">
        <f>IF(J85&lt;&gt;0,VLOOKUP(J85,Basisdaten!$B$19:$E$26,3,),"")</f>
        <v/>
      </c>
      <c r="N85" s="14" t="str">
        <f>IF(AND(J85&lt;&gt;0,M85="ja"),VLOOKUP(J85,Basisdaten!$B$19:$E$26,4,),"")</f>
        <v/>
      </c>
      <c r="O85" s="14" t="str">
        <f t="shared" si="9"/>
        <v/>
      </c>
      <c r="P85" s="13">
        <f t="shared" si="10"/>
        <v>1</v>
      </c>
      <c r="Q85" s="86">
        <f>TIME(Tabelle1[[#This Row],[Std. Start]],Tabelle1[[#This Row],[Min. Start]],)</f>
        <v>0</v>
      </c>
      <c r="R85" s="86">
        <f>TIME(Tabelle1[[#This Row],[Std. Ende]],Tabelle1[[#This Row],[Min. Ende]],)</f>
        <v>0</v>
      </c>
      <c r="S85" s="86" t="b">
        <f>OR(AND(Tabelle1[[#This Row],[Σ Arbeit p.Tag]]&gt;9,Tabelle1[[#This Row],[Σ Pause p.Tag]]&lt;Basisdaten!$D$14),AND(Tabelle1[[#This Row],[Σ Arbeit p.Tag]]&lt;=9,Tabelle1[[#This Row],[Σ Arbeit p.Tag]]&gt;6,Tabelle1[[#This Row],[Σ Pause p.Tag]]&lt;Basisdaten!$D$13))</f>
        <v>0</v>
      </c>
      <c r="T85" s="86" t="b">
        <f>(Tabelle1[[#This Row],[Σ Arbeit p.Tag]]&gt;Basisdaten!$D$12)</f>
        <v>0</v>
      </c>
    </row>
    <row r="86" spans="1:20" x14ac:dyDescent="0.15">
      <c r="A86" s="7" t="str">
        <f>IF(Tabelle1[[#This Row],[Tag]]=0,"",
IF(WEEKDAY(B86)=1,"So",
IF(WEEKDAY(B86)=2,"Mo",
IF(WEEKDAY(B86)=3,"Di",
IF(WEEKDAY(B86)=4,"Mi",
IF(WEEKDAY(B86)=5,"Do",
IF(WEEKDAY(B86)=6,"Fr",
IF(WEEKDAY(B86)=7,"Sa"))))))))</f>
        <v/>
      </c>
      <c r="B86" s="8"/>
      <c r="C86" s="9"/>
      <c r="D86" s="10"/>
      <c r="E86" s="9"/>
      <c r="F86" s="10"/>
      <c r="G86" s="97">
        <f t="shared" si="8"/>
        <v>0</v>
      </c>
      <c r="H86" s="94">
        <f>SUMIF(Tabelle1[Tag],Tabelle1[[#This Row],[Tag]],Tabelle1[Stunden])</f>
        <v>0</v>
      </c>
      <c r="I86" s="94" cm="1">
        <f t="array" ref="I86">24*(MAX(IF(EXACT(Tabelle1[Tag],Tabelle1[[#This Row],[Tag]]),Tabelle1[Ende]))
-MIN(IF(EXACT(Tabelle1[Tag],Tabelle1[[#This Row],[Tag]]),Tabelle1[Start])))
-SUMIF(Tabelle1[Tag],Tabelle1[[#This Row],[Tag]],Tabelle1[Stunden])</f>
        <v>0</v>
      </c>
      <c r="J86" s="11"/>
      <c r="K86" s="15"/>
      <c r="L86" s="54"/>
      <c r="M86" s="55" t="str">
        <f>IF(J86&lt;&gt;0,VLOOKUP(J86,Basisdaten!$B$19:$E$26,3,),"")</f>
        <v/>
      </c>
      <c r="N86" s="14" t="str">
        <f>IF(AND(J86&lt;&gt;0,M86="ja"),VLOOKUP(J86,Basisdaten!$B$19:$E$26,4,),"")</f>
        <v/>
      </c>
      <c r="O86" s="14" t="str">
        <f t="shared" si="9"/>
        <v/>
      </c>
      <c r="P86" s="13">
        <f t="shared" si="10"/>
        <v>1</v>
      </c>
      <c r="Q86" s="86">
        <f>TIME(Tabelle1[[#This Row],[Std. Start]],Tabelle1[[#This Row],[Min. Start]],)</f>
        <v>0</v>
      </c>
      <c r="R86" s="86">
        <f>TIME(Tabelle1[[#This Row],[Std. Ende]],Tabelle1[[#This Row],[Min. Ende]],)</f>
        <v>0</v>
      </c>
      <c r="S86" s="86" t="b">
        <f>OR(AND(Tabelle1[[#This Row],[Σ Arbeit p.Tag]]&gt;9,Tabelle1[[#This Row],[Σ Pause p.Tag]]&lt;Basisdaten!$D$14),AND(Tabelle1[[#This Row],[Σ Arbeit p.Tag]]&lt;=9,Tabelle1[[#This Row],[Σ Arbeit p.Tag]]&gt;6,Tabelle1[[#This Row],[Σ Pause p.Tag]]&lt;Basisdaten!$D$13))</f>
        <v>0</v>
      </c>
      <c r="T86" s="86" t="b">
        <f>(Tabelle1[[#This Row],[Σ Arbeit p.Tag]]&gt;Basisdaten!$D$12)</f>
        <v>0</v>
      </c>
    </row>
    <row r="87" spans="1:20" x14ac:dyDescent="0.15">
      <c r="A87" s="7" t="str">
        <f>IF(Tabelle1[[#This Row],[Tag]]=0,"",
IF(WEEKDAY(B87)=1,"So",
IF(WEEKDAY(B87)=2,"Mo",
IF(WEEKDAY(B87)=3,"Di",
IF(WEEKDAY(B87)=4,"Mi",
IF(WEEKDAY(B87)=5,"Do",
IF(WEEKDAY(B87)=6,"Fr",
IF(WEEKDAY(B87)=7,"Sa"))))))))</f>
        <v/>
      </c>
      <c r="B87" s="8"/>
      <c r="C87" s="9"/>
      <c r="D87" s="10"/>
      <c r="E87" s="9"/>
      <c r="F87" s="10"/>
      <c r="G87" s="97">
        <f t="shared" si="4"/>
        <v>0</v>
      </c>
      <c r="H87" s="94">
        <f>SUMIF(Tabelle1[Tag],Tabelle1[[#This Row],[Tag]],Tabelle1[Stunden])</f>
        <v>0</v>
      </c>
      <c r="I87" s="94" cm="1">
        <f t="array" ref="I87">24*(MAX(IF(EXACT(Tabelle1[Tag],Tabelle1[[#This Row],[Tag]]),Tabelle1[Ende]))
-MIN(IF(EXACT(Tabelle1[Tag],Tabelle1[[#This Row],[Tag]]),Tabelle1[Start])))
-SUMIF(Tabelle1[Tag],Tabelle1[[#This Row],[Tag]],Tabelle1[Stunden])</f>
        <v>0</v>
      </c>
      <c r="J87" s="11"/>
      <c r="K87" s="15"/>
      <c r="L87" s="54"/>
      <c r="M87" s="55" t="str">
        <f>IF(J87&lt;&gt;0,VLOOKUP(J87,Basisdaten!$B$19:$E$26,3,),"")</f>
        <v/>
      </c>
      <c r="N87" s="14" t="str">
        <f>IF(AND(J87&lt;&gt;0,M87="ja"),VLOOKUP(J87,Basisdaten!$B$19:$E$26,4,),"")</f>
        <v/>
      </c>
      <c r="O87" s="14" t="str">
        <f t="shared" si="9"/>
        <v/>
      </c>
      <c r="P87" s="13">
        <f t="shared" si="10"/>
        <v>1</v>
      </c>
      <c r="Q87" s="86">
        <f>TIME(Tabelle1[[#This Row],[Std. Start]],Tabelle1[[#This Row],[Min. Start]],)</f>
        <v>0</v>
      </c>
      <c r="R87" s="86">
        <f>TIME(Tabelle1[[#This Row],[Std. Ende]],Tabelle1[[#This Row],[Min. Ende]],)</f>
        <v>0</v>
      </c>
      <c r="S87" s="86" t="b">
        <f>OR(AND(Tabelle1[[#This Row],[Σ Arbeit p.Tag]]&gt;9,Tabelle1[[#This Row],[Σ Pause p.Tag]]&lt;Basisdaten!$D$14),AND(Tabelle1[[#This Row],[Σ Arbeit p.Tag]]&lt;=9,Tabelle1[[#This Row],[Σ Arbeit p.Tag]]&gt;6,Tabelle1[[#This Row],[Σ Pause p.Tag]]&lt;Basisdaten!$D$13))</f>
        <v>0</v>
      </c>
      <c r="T87" s="86" t="b">
        <f>(Tabelle1[[#This Row],[Σ Arbeit p.Tag]]&gt;Basisdaten!$D$12)</f>
        <v>0</v>
      </c>
    </row>
    <row r="88" spans="1:20" x14ac:dyDescent="0.15">
      <c r="A88" s="7" t="str">
        <f>IF(Tabelle1[[#This Row],[Tag]]=0,"",
IF(WEEKDAY(B88)=1,"So",
IF(WEEKDAY(B88)=2,"Mo",
IF(WEEKDAY(B88)=3,"Di",
IF(WEEKDAY(B88)=4,"Mi",
IF(WEEKDAY(B88)=5,"Do",
IF(WEEKDAY(B88)=6,"Fr",
IF(WEEKDAY(B88)=7,"Sa"))))))))</f>
        <v/>
      </c>
      <c r="B88" s="8"/>
      <c r="C88" s="9"/>
      <c r="D88" s="10"/>
      <c r="E88" s="9"/>
      <c r="F88" s="10"/>
      <c r="G88" s="97">
        <f t="shared" si="4"/>
        <v>0</v>
      </c>
      <c r="H88" s="94">
        <f>SUMIF(Tabelle1[Tag],Tabelle1[[#This Row],[Tag]],Tabelle1[Stunden])</f>
        <v>0</v>
      </c>
      <c r="I88" s="94" cm="1">
        <f t="array" ref="I88">24*(MAX(IF(EXACT(Tabelle1[Tag],Tabelle1[[#This Row],[Tag]]),Tabelle1[Ende]))
-MIN(IF(EXACT(Tabelle1[Tag],Tabelle1[[#This Row],[Tag]]),Tabelle1[Start])))
-SUMIF(Tabelle1[Tag],Tabelle1[[#This Row],[Tag]],Tabelle1[Stunden])</f>
        <v>0</v>
      </c>
      <c r="J88" s="11"/>
      <c r="K88" s="15"/>
      <c r="L88" s="54"/>
      <c r="M88" s="55" t="str">
        <f>IF(J88&lt;&gt;0,VLOOKUP(J88,Basisdaten!$B$19:$E$26,3,),"")</f>
        <v/>
      </c>
      <c r="N88" s="14" t="str">
        <f>IF(AND(J88&lt;&gt;0,M88="ja"),VLOOKUP(J88,Basisdaten!$B$19:$E$26,4,),"")</f>
        <v/>
      </c>
      <c r="O88" s="14" t="str">
        <f t="shared" si="9"/>
        <v/>
      </c>
      <c r="P88" s="13">
        <f t="shared" si="10"/>
        <v>1</v>
      </c>
      <c r="Q88" s="86">
        <f>TIME(Tabelle1[[#This Row],[Std. Start]],Tabelle1[[#This Row],[Min. Start]],)</f>
        <v>0</v>
      </c>
      <c r="R88" s="86">
        <f>TIME(Tabelle1[[#This Row],[Std. Ende]],Tabelle1[[#This Row],[Min. Ende]],)</f>
        <v>0</v>
      </c>
      <c r="S88" s="86" t="b">
        <f>OR(AND(Tabelle1[[#This Row],[Σ Arbeit p.Tag]]&gt;9,Tabelle1[[#This Row],[Σ Pause p.Tag]]&lt;Basisdaten!$D$14),AND(Tabelle1[[#This Row],[Σ Arbeit p.Tag]]&lt;=9,Tabelle1[[#This Row],[Σ Arbeit p.Tag]]&gt;6,Tabelle1[[#This Row],[Σ Pause p.Tag]]&lt;Basisdaten!$D$13))</f>
        <v>0</v>
      </c>
      <c r="T88" s="86" t="b">
        <f>(Tabelle1[[#This Row],[Σ Arbeit p.Tag]]&gt;Basisdaten!$D$12)</f>
        <v>0</v>
      </c>
    </row>
    <row r="89" spans="1:20" x14ac:dyDescent="0.15">
      <c r="A89" s="7" t="str">
        <f>IF(Tabelle1[[#This Row],[Tag]]=0,"",
IF(WEEKDAY(B89)=1,"So",
IF(WEEKDAY(B89)=2,"Mo",
IF(WEEKDAY(B89)=3,"Di",
IF(WEEKDAY(B89)=4,"Mi",
IF(WEEKDAY(B89)=5,"Do",
IF(WEEKDAY(B89)=6,"Fr",
IF(WEEKDAY(B89)=7,"Sa"))))))))</f>
        <v/>
      </c>
      <c r="B89" s="8"/>
      <c r="C89" s="9"/>
      <c r="D89" s="10"/>
      <c r="E89" s="9"/>
      <c r="F89" s="10"/>
      <c r="G89" s="97">
        <f t="shared" si="4"/>
        <v>0</v>
      </c>
      <c r="H89" s="94">
        <f>SUMIF(Tabelle1[Tag],Tabelle1[[#This Row],[Tag]],Tabelle1[Stunden])</f>
        <v>0</v>
      </c>
      <c r="I89" s="94" cm="1">
        <f t="array" ref="I89">24*(MAX(IF(EXACT(Tabelle1[Tag],Tabelle1[[#This Row],[Tag]]),Tabelle1[Ende]))
-MIN(IF(EXACT(Tabelle1[Tag],Tabelle1[[#This Row],[Tag]]),Tabelle1[Start])))
-SUMIF(Tabelle1[Tag],Tabelle1[[#This Row],[Tag]],Tabelle1[Stunden])</f>
        <v>0</v>
      </c>
      <c r="J89" s="11"/>
      <c r="K89" s="15"/>
      <c r="L89" s="54"/>
      <c r="M89" s="55" t="str">
        <f>IF(J89&lt;&gt;0,VLOOKUP(J89,Basisdaten!$B$19:$E$26,3,),"")</f>
        <v/>
      </c>
      <c r="N89" s="14" t="str">
        <f>IF(AND(J89&lt;&gt;0,M89="ja"),VLOOKUP(J89,Basisdaten!$B$19:$E$26,4,),"")</f>
        <v/>
      </c>
      <c r="O89" s="14" t="str">
        <f t="shared" si="9"/>
        <v/>
      </c>
      <c r="P89" s="13">
        <f t="shared" si="10"/>
        <v>1</v>
      </c>
      <c r="Q89" s="86">
        <f>TIME(Tabelle1[[#This Row],[Std. Start]],Tabelle1[[#This Row],[Min. Start]],)</f>
        <v>0</v>
      </c>
      <c r="R89" s="86">
        <f>TIME(Tabelle1[[#This Row],[Std. Ende]],Tabelle1[[#This Row],[Min. Ende]],)</f>
        <v>0</v>
      </c>
      <c r="S89" s="86" t="b">
        <f>OR(AND(Tabelle1[[#This Row],[Σ Arbeit p.Tag]]&gt;9,Tabelle1[[#This Row],[Σ Pause p.Tag]]&lt;Basisdaten!$D$14),AND(Tabelle1[[#This Row],[Σ Arbeit p.Tag]]&lt;=9,Tabelle1[[#This Row],[Σ Arbeit p.Tag]]&gt;6,Tabelle1[[#This Row],[Σ Pause p.Tag]]&lt;Basisdaten!$D$13))</f>
        <v>0</v>
      </c>
      <c r="T89" s="86" t="b">
        <f>(Tabelle1[[#This Row],[Σ Arbeit p.Tag]]&gt;Basisdaten!$D$12)</f>
        <v>0</v>
      </c>
    </row>
    <row r="90" spans="1:20" x14ac:dyDescent="0.15">
      <c r="A90" s="7" t="str">
        <f>IF(Tabelle1[[#This Row],[Tag]]=0,"",
IF(WEEKDAY(B90)=1,"So",
IF(WEEKDAY(B90)=2,"Mo",
IF(WEEKDAY(B90)=3,"Di",
IF(WEEKDAY(B90)=4,"Mi",
IF(WEEKDAY(B90)=5,"Do",
IF(WEEKDAY(B90)=6,"Fr",
IF(WEEKDAY(B90)=7,"Sa"))))))))</f>
        <v/>
      </c>
      <c r="B90" s="8"/>
      <c r="C90" s="9"/>
      <c r="D90" s="10"/>
      <c r="E90" s="9"/>
      <c r="F90" s="10"/>
      <c r="G90" s="97">
        <f t="shared" si="4"/>
        <v>0</v>
      </c>
      <c r="H90" s="94">
        <f>SUMIF(Tabelle1[Tag],Tabelle1[[#This Row],[Tag]],Tabelle1[Stunden])</f>
        <v>0</v>
      </c>
      <c r="I90" s="94" cm="1">
        <f t="array" ref="I90">24*(MAX(IF(EXACT(Tabelle1[Tag],Tabelle1[[#This Row],[Tag]]),Tabelle1[Ende]))
-MIN(IF(EXACT(Tabelle1[Tag],Tabelle1[[#This Row],[Tag]]),Tabelle1[Start])))
-SUMIF(Tabelle1[Tag],Tabelle1[[#This Row],[Tag]],Tabelle1[Stunden])</f>
        <v>0</v>
      </c>
      <c r="J90" s="11"/>
      <c r="K90" s="15"/>
      <c r="L90" s="54"/>
      <c r="M90" s="55" t="str">
        <f>IF(J90&lt;&gt;0,VLOOKUP(J90,Basisdaten!$B$19:$E$26,3,),"")</f>
        <v/>
      </c>
      <c r="N90" s="14" t="str">
        <f>IF(AND(J90&lt;&gt;0,M90="ja"),VLOOKUP(J90,Basisdaten!$B$19:$E$26,4,),"")</f>
        <v/>
      </c>
      <c r="O90" s="14" t="str">
        <f t="shared" si="9"/>
        <v/>
      </c>
      <c r="P90" s="13">
        <f t="shared" si="10"/>
        <v>1</v>
      </c>
      <c r="Q90" s="86">
        <f>TIME(Tabelle1[[#This Row],[Std. Start]],Tabelle1[[#This Row],[Min. Start]],)</f>
        <v>0</v>
      </c>
      <c r="R90" s="86">
        <f>TIME(Tabelle1[[#This Row],[Std. Ende]],Tabelle1[[#This Row],[Min. Ende]],)</f>
        <v>0</v>
      </c>
      <c r="S90" s="86" t="b">
        <f>OR(AND(Tabelle1[[#This Row],[Σ Arbeit p.Tag]]&gt;9,Tabelle1[[#This Row],[Σ Pause p.Tag]]&lt;Basisdaten!$D$14),AND(Tabelle1[[#This Row],[Σ Arbeit p.Tag]]&lt;=9,Tabelle1[[#This Row],[Σ Arbeit p.Tag]]&gt;6,Tabelle1[[#This Row],[Σ Pause p.Tag]]&lt;Basisdaten!$D$13))</f>
        <v>0</v>
      </c>
      <c r="T90" s="86" t="b">
        <f>(Tabelle1[[#This Row],[Σ Arbeit p.Tag]]&gt;Basisdaten!$D$12)</f>
        <v>0</v>
      </c>
    </row>
    <row r="91" spans="1:20" x14ac:dyDescent="0.15">
      <c r="A91" s="7" t="str">
        <f>IF(Tabelle1[[#This Row],[Tag]]=0,"",
IF(WEEKDAY(B91)=1,"So",
IF(WEEKDAY(B91)=2,"Mo",
IF(WEEKDAY(B91)=3,"Di",
IF(WEEKDAY(B91)=4,"Mi",
IF(WEEKDAY(B91)=5,"Do",
IF(WEEKDAY(B91)=6,"Fr",
IF(WEEKDAY(B91)=7,"Sa"))))))))</f>
        <v/>
      </c>
      <c r="B91" s="8"/>
      <c r="C91" s="9"/>
      <c r="D91" s="10"/>
      <c r="E91" s="9"/>
      <c r="F91" s="10"/>
      <c r="G91" s="97">
        <f t="shared" ref="G91:G94" si="11">ROUND((E91*60+F91-C91*60-D91)/60,2)</f>
        <v>0</v>
      </c>
      <c r="H91" s="94">
        <f>SUMIF(Tabelle1[Tag],Tabelle1[[#This Row],[Tag]],Tabelle1[Stunden])</f>
        <v>0</v>
      </c>
      <c r="I91" s="94" cm="1">
        <f t="array" ref="I91">24*(MAX(IF(EXACT(Tabelle1[Tag],Tabelle1[[#This Row],[Tag]]),Tabelle1[Ende]))
-MIN(IF(EXACT(Tabelle1[Tag],Tabelle1[[#This Row],[Tag]]),Tabelle1[Start])))
-SUMIF(Tabelle1[Tag],Tabelle1[[#This Row],[Tag]],Tabelle1[Stunden])</f>
        <v>0</v>
      </c>
      <c r="J91" s="11"/>
      <c r="K91" s="15"/>
      <c r="L91" s="54"/>
      <c r="M91" s="55" t="str">
        <f>IF(J91&lt;&gt;0,VLOOKUP(J91,Basisdaten!$B$19:$E$26,3,),"")</f>
        <v/>
      </c>
      <c r="N91" s="14" t="str">
        <f>IF(AND(J91&lt;&gt;0,M91="ja"),VLOOKUP(J91,Basisdaten!$B$19:$E$26,4,),"")</f>
        <v/>
      </c>
      <c r="O91" s="14" t="str">
        <f t="shared" si="9"/>
        <v/>
      </c>
      <c r="P91" s="13">
        <f t="shared" si="10"/>
        <v>1</v>
      </c>
      <c r="Q91" s="86">
        <f>TIME(Tabelle1[[#This Row],[Std. Start]],Tabelle1[[#This Row],[Min. Start]],)</f>
        <v>0</v>
      </c>
      <c r="R91" s="86">
        <f>TIME(Tabelle1[[#This Row],[Std. Ende]],Tabelle1[[#This Row],[Min. Ende]],)</f>
        <v>0</v>
      </c>
      <c r="S91" s="86" t="b">
        <f>OR(AND(Tabelle1[[#This Row],[Σ Arbeit p.Tag]]&gt;9,Tabelle1[[#This Row],[Σ Pause p.Tag]]&lt;Basisdaten!$D$14),AND(Tabelle1[[#This Row],[Σ Arbeit p.Tag]]&lt;=9,Tabelle1[[#This Row],[Σ Arbeit p.Tag]]&gt;6,Tabelle1[[#This Row],[Σ Pause p.Tag]]&lt;Basisdaten!$D$13))</f>
        <v>0</v>
      </c>
      <c r="T91" s="86" t="b">
        <f>(Tabelle1[[#This Row],[Σ Arbeit p.Tag]]&gt;Basisdaten!$D$12)</f>
        <v>0</v>
      </c>
    </row>
    <row r="92" spans="1:20" x14ac:dyDescent="0.15">
      <c r="A92" s="7" t="str">
        <f>IF(Tabelle1[[#This Row],[Tag]]=0,"",
IF(WEEKDAY(B92)=1,"So",
IF(WEEKDAY(B92)=2,"Mo",
IF(WEEKDAY(B92)=3,"Di",
IF(WEEKDAY(B92)=4,"Mi",
IF(WEEKDAY(B92)=5,"Do",
IF(WEEKDAY(B92)=6,"Fr",
IF(WEEKDAY(B92)=7,"Sa"))))))))</f>
        <v/>
      </c>
      <c r="B92" s="8"/>
      <c r="C92" s="9"/>
      <c r="D92" s="10"/>
      <c r="E92" s="9"/>
      <c r="F92" s="10"/>
      <c r="G92" s="97">
        <f t="shared" si="11"/>
        <v>0</v>
      </c>
      <c r="H92" s="94">
        <f>SUMIF(Tabelle1[Tag],Tabelle1[[#This Row],[Tag]],Tabelle1[Stunden])</f>
        <v>0</v>
      </c>
      <c r="I92" s="94" cm="1">
        <f t="array" ref="I92">24*(MAX(IF(EXACT(Tabelle1[Tag],Tabelle1[[#This Row],[Tag]]),Tabelle1[Ende]))
-MIN(IF(EXACT(Tabelle1[Tag],Tabelle1[[#This Row],[Tag]]),Tabelle1[Start])))
-SUMIF(Tabelle1[Tag],Tabelle1[[#This Row],[Tag]],Tabelle1[Stunden])</f>
        <v>0</v>
      </c>
      <c r="J92" s="11"/>
      <c r="K92" s="15"/>
      <c r="L92" s="54"/>
      <c r="M92" s="55" t="str">
        <f>IF(J92&lt;&gt;0,VLOOKUP(J92,Basisdaten!$B$19:$E$26,3,),"")</f>
        <v/>
      </c>
      <c r="N92" s="14" t="str">
        <f>IF(AND(J92&lt;&gt;0,M92="ja"),VLOOKUP(J92,Basisdaten!$B$19:$E$26,4,),"")</f>
        <v/>
      </c>
      <c r="O92" s="14" t="str">
        <f t="shared" si="9"/>
        <v/>
      </c>
      <c r="P92" s="13">
        <f t="shared" si="10"/>
        <v>1</v>
      </c>
      <c r="Q92" s="86">
        <f>TIME(Tabelle1[[#This Row],[Std. Start]],Tabelle1[[#This Row],[Min. Start]],)</f>
        <v>0</v>
      </c>
      <c r="R92" s="86">
        <f>TIME(Tabelle1[[#This Row],[Std. Ende]],Tabelle1[[#This Row],[Min. Ende]],)</f>
        <v>0</v>
      </c>
      <c r="S92" s="86" t="b">
        <f>OR(AND(Tabelle1[[#This Row],[Σ Arbeit p.Tag]]&gt;9,Tabelle1[[#This Row],[Σ Pause p.Tag]]&lt;Basisdaten!$D$14),AND(Tabelle1[[#This Row],[Σ Arbeit p.Tag]]&lt;=9,Tabelle1[[#This Row],[Σ Arbeit p.Tag]]&gt;6,Tabelle1[[#This Row],[Σ Pause p.Tag]]&lt;Basisdaten!$D$13))</f>
        <v>0</v>
      </c>
      <c r="T92" s="86" t="b">
        <f>(Tabelle1[[#This Row],[Σ Arbeit p.Tag]]&gt;Basisdaten!$D$12)</f>
        <v>0</v>
      </c>
    </row>
    <row r="93" spans="1:20" x14ac:dyDescent="0.15">
      <c r="A93" s="7" t="str">
        <f>IF(Tabelle1[[#This Row],[Tag]]=0,"",
IF(WEEKDAY(B93)=1,"So",
IF(WEEKDAY(B93)=2,"Mo",
IF(WEEKDAY(B93)=3,"Di",
IF(WEEKDAY(B93)=4,"Mi",
IF(WEEKDAY(B93)=5,"Do",
IF(WEEKDAY(B93)=6,"Fr",
IF(WEEKDAY(B93)=7,"Sa"))))))))</f>
        <v/>
      </c>
      <c r="B93" s="8"/>
      <c r="C93" s="9"/>
      <c r="D93" s="10"/>
      <c r="E93" s="9"/>
      <c r="F93" s="10"/>
      <c r="G93" s="97">
        <f t="shared" si="11"/>
        <v>0</v>
      </c>
      <c r="H93" s="94">
        <f>SUMIF(Tabelle1[Tag],Tabelle1[[#This Row],[Tag]],Tabelle1[Stunden])</f>
        <v>0</v>
      </c>
      <c r="I93" s="94" cm="1">
        <f t="array" ref="I93">24*(MAX(IF(EXACT(Tabelle1[Tag],Tabelle1[[#This Row],[Tag]]),Tabelle1[Ende]))
-MIN(IF(EXACT(Tabelle1[Tag],Tabelle1[[#This Row],[Tag]]),Tabelle1[Start])))
-SUMIF(Tabelle1[Tag],Tabelle1[[#This Row],[Tag]],Tabelle1[Stunden])</f>
        <v>0</v>
      </c>
      <c r="J93" s="11"/>
      <c r="K93" s="15"/>
      <c r="L93" s="54"/>
      <c r="M93" s="55" t="str">
        <f>IF(J93&lt;&gt;0,VLOOKUP(J93,Basisdaten!$B$19:$E$26,3,),"")</f>
        <v/>
      </c>
      <c r="N93" s="14" t="str">
        <f>IF(AND(J93&lt;&gt;0,M93="ja"),VLOOKUP(J93,Basisdaten!$B$19:$E$26,4,),"")</f>
        <v/>
      </c>
      <c r="O93" s="14" t="str">
        <f t="shared" si="9"/>
        <v/>
      </c>
      <c r="P93" s="13">
        <f t="shared" si="10"/>
        <v>1</v>
      </c>
      <c r="Q93" s="86">
        <f>TIME(Tabelle1[[#This Row],[Std. Start]],Tabelle1[[#This Row],[Min. Start]],)</f>
        <v>0</v>
      </c>
      <c r="R93" s="86">
        <f>TIME(Tabelle1[[#This Row],[Std. Ende]],Tabelle1[[#This Row],[Min. Ende]],)</f>
        <v>0</v>
      </c>
      <c r="S93" s="86" t="b">
        <f>OR(AND(Tabelle1[[#This Row],[Σ Arbeit p.Tag]]&gt;9,Tabelle1[[#This Row],[Σ Pause p.Tag]]&lt;Basisdaten!$D$14),AND(Tabelle1[[#This Row],[Σ Arbeit p.Tag]]&lt;=9,Tabelle1[[#This Row],[Σ Arbeit p.Tag]]&gt;6,Tabelle1[[#This Row],[Σ Pause p.Tag]]&lt;Basisdaten!$D$13))</f>
        <v>0</v>
      </c>
      <c r="T93" s="86" t="b">
        <f>(Tabelle1[[#This Row],[Σ Arbeit p.Tag]]&gt;Basisdaten!$D$12)</f>
        <v>0</v>
      </c>
    </row>
    <row r="94" spans="1:20" x14ac:dyDescent="0.15">
      <c r="A94" s="7" t="str">
        <f>IF(Tabelle1[[#This Row],[Tag]]=0,"",
IF(WEEKDAY(B94)=1,"So",
IF(WEEKDAY(B94)=2,"Mo",
IF(WEEKDAY(B94)=3,"Di",
IF(WEEKDAY(B94)=4,"Mi",
IF(WEEKDAY(B94)=5,"Do",
IF(WEEKDAY(B94)=6,"Fr",
IF(WEEKDAY(B94)=7,"Sa"))))))))</f>
        <v/>
      </c>
      <c r="B94" s="8"/>
      <c r="C94" s="9"/>
      <c r="D94" s="10"/>
      <c r="E94" s="9"/>
      <c r="F94" s="10"/>
      <c r="G94" s="97">
        <f t="shared" si="11"/>
        <v>0</v>
      </c>
      <c r="H94" s="94">
        <f>SUMIF(Tabelle1[Tag],Tabelle1[[#This Row],[Tag]],Tabelle1[Stunden])</f>
        <v>0</v>
      </c>
      <c r="I94" s="94" cm="1">
        <f t="array" ref="I94">24*(MAX(IF(EXACT(Tabelle1[Tag],Tabelle1[[#This Row],[Tag]]),Tabelle1[Ende]))
-MIN(IF(EXACT(Tabelle1[Tag],Tabelle1[[#This Row],[Tag]]),Tabelle1[Start])))
-SUMIF(Tabelle1[Tag],Tabelle1[[#This Row],[Tag]],Tabelle1[Stunden])</f>
        <v>0</v>
      </c>
      <c r="J94" s="11"/>
      <c r="K94" s="15"/>
      <c r="L94" s="54"/>
      <c r="M94" s="55" t="str">
        <f>IF(J94&lt;&gt;0,VLOOKUP(J94,Basisdaten!$B$19:$E$26,3,),"")</f>
        <v/>
      </c>
      <c r="N94" s="14" t="str">
        <f>IF(AND(J94&lt;&gt;0,M94="ja"),VLOOKUP(J94,Basisdaten!$B$19:$E$26,4,),"")</f>
        <v/>
      </c>
      <c r="O94" s="14" t="str">
        <f t="shared" si="9"/>
        <v/>
      </c>
      <c r="P94" s="13">
        <f t="shared" si="10"/>
        <v>1</v>
      </c>
      <c r="Q94" s="86">
        <f>TIME(Tabelle1[[#This Row],[Std. Start]],Tabelle1[[#This Row],[Min. Start]],)</f>
        <v>0</v>
      </c>
      <c r="R94" s="86">
        <f>TIME(Tabelle1[[#This Row],[Std. Ende]],Tabelle1[[#This Row],[Min. Ende]],)</f>
        <v>0</v>
      </c>
      <c r="S94" s="86" t="b">
        <f>OR(AND(Tabelle1[[#This Row],[Σ Arbeit p.Tag]]&gt;9,Tabelle1[[#This Row],[Σ Pause p.Tag]]&lt;Basisdaten!$D$14),AND(Tabelle1[[#This Row],[Σ Arbeit p.Tag]]&lt;=9,Tabelle1[[#This Row],[Σ Arbeit p.Tag]]&gt;6,Tabelle1[[#This Row],[Σ Pause p.Tag]]&lt;Basisdaten!$D$13))</f>
        <v>0</v>
      </c>
      <c r="T94" s="86" t="b">
        <f>(Tabelle1[[#This Row],[Σ Arbeit p.Tag]]&gt;Basisdaten!$D$12)</f>
        <v>0</v>
      </c>
    </row>
    <row r="95" spans="1:20" x14ac:dyDescent="0.15">
      <c r="A95" s="7" t="str">
        <f>IF(Tabelle1[[#This Row],[Tag]]=0,"",
IF(WEEKDAY(B95)=1,"So",
IF(WEEKDAY(B95)=2,"Mo",
IF(WEEKDAY(B95)=3,"Di",
IF(WEEKDAY(B95)=4,"Mi",
IF(WEEKDAY(B95)=5,"Do",
IF(WEEKDAY(B95)=6,"Fr",
IF(WEEKDAY(B95)=7,"Sa"))))))))</f>
        <v/>
      </c>
      <c r="B95" s="8"/>
      <c r="C95" s="9"/>
      <c r="D95" s="10"/>
      <c r="E95" s="9"/>
      <c r="F95" s="10"/>
      <c r="G95" s="97">
        <f t="shared" ref="G95:G98" si="12">ROUND((E95*60+F95-C95*60-D95)/60,2)</f>
        <v>0</v>
      </c>
      <c r="H95" s="94">
        <f>SUMIF(Tabelle1[Tag],Tabelle1[[#This Row],[Tag]],Tabelle1[Stunden])</f>
        <v>0</v>
      </c>
      <c r="I95" s="94" cm="1">
        <f t="array" ref="I95">24*(MAX(IF(EXACT(Tabelle1[Tag],Tabelle1[[#This Row],[Tag]]),Tabelle1[Ende]))
-MIN(IF(EXACT(Tabelle1[Tag],Tabelle1[[#This Row],[Tag]]),Tabelle1[Start])))
-SUMIF(Tabelle1[Tag],Tabelle1[[#This Row],[Tag]],Tabelle1[Stunden])</f>
        <v>0</v>
      </c>
      <c r="J95" s="11"/>
      <c r="K95" s="15"/>
      <c r="L95" s="54"/>
      <c r="M95" s="55" t="str">
        <f>IF(J95&lt;&gt;0,VLOOKUP(J95,Basisdaten!$B$19:$E$26,3,),"")</f>
        <v/>
      </c>
      <c r="N95" s="14" t="str">
        <f>IF(AND(J95&lt;&gt;0,M95="ja"),VLOOKUP(J95,Basisdaten!$B$19:$E$26,4,),"")</f>
        <v/>
      </c>
      <c r="O95" s="14" t="str">
        <f t="shared" si="9"/>
        <v/>
      </c>
      <c r="P95" s="13">
        <f t="shared" ref="P95:P98" si="13">MONTH(B95)</f>
        <v>1</v>
      </c>
      <c r="Q95" s="86">
        <f>TIME(Tabelle1[[#This Row],[Std. Start]],Tabelle1[[#This Row],[Min. Start]],)</f>
        <v>0</v>
      </c>
      <c r="R95" s="86">
        <f>TIME(Tabelle1[[#This Row],[Std. Ende]],Tabelle1[[#This Row],[Min. Ende]],)</f>
        <v>0</v>
      </c>
      <c r="S95" s="86" t="b">
        <f>OR(AND(Tabelle1[[#This Row],[Σ Arbeit p.Tag]]&gt;9,Tabelle1[[#This Row],[Σ Pause p.Tag]]&lt;Basisdaten!$D$14),AND(Tabelle1[[#This Row],[Σ Arbeit p.Tag]]&lt;=9,Tabelle1[[#This Row],[Σ Arbeit p.Tag]]&gt;6,Tabelle1[[#This Row],[Σ Pause p.Tag]]&lt;Basisdaten!$D$13))</f>
        <v>0</v>
      </c>
      <c r="T95" s="86" t="b">
        <f>(Tabelle1[[#This Row],[Σ Arbeit p.Tag]]&gt;Basisdaten!$D$12)</f>
        <v>0</v>
      </c>
    </row>
    <row r="96" spans="1:20" x14ac:dyDescent="0.15">
      <c r="A96" s="7" t="str">
        <f>IF(Tabelle1[[#This Row],[Tag]]=0,"",
IF(WEEKDAY(B96)=1,"So",
IF(WEEKDAY(B96)=2,"Mo",
IF(WEEKDAY(B96)=3,"Di",
IF(WEEKDAY(B96)=4,"Mi",
IF(WEEKDAY(B96)=5,"Do",
IF(WEEKDAY(B96)=6,"Fr",
IF(WEEKDAY(B96)=7,"Sa"))))))))</f>
        <v/>
      </c>
      <c r="B96" s="8"/>
      <c r="C96" s="9"/>
      <c r="D96" s="10"/>
      <c r="E96" s="9"/>
      <c r="F96" s="10"/>
      <c r="G96" s="97">
        <f t="shared" si="12"/>
        <v>0</v>
      </c>
      <c r="H96" s="94">
        <f>SUMIF(Tabelle1[Tag],Tabelle1[[#This Row],[Tag]],Tabelle1[Stunden])</f>
        <v>0</v>
      </c>
      <c r="I96" s="94" cm="1">
        <f t="array" ref="I96">24*(MAX(IF(EXACT(Tabelle1[Tag],Tabelle1[[#This Row],[Tag]]),Tabelle1[Ende]))
-MIN(IF(EXACT(Tabelle1[Tag],Tabelle1[[#This Row],[Tag]]),Tabelle1[Start])))
-SUMIF(Tabelle1[Tag],Tabelle1[[#This Row],[Tag]],Tabelle1[Stunden])</f>
        <v>0</v>
      </c>
      <c r="J96" s="11"/>
      <c r="K96" s="15"/>
      <c r="L96" s="54"/>
      <c r="M96" s="55" t="str">
        <f>IF(J96&lt;&gt;0,VLOOKUP(J96,Basisdaten!$B$19:$E$26,3,),"")</f>
        <v/>
      </c>
      <c r="N96" s="14" t="str">
        <f>IF(AND(J96&lt;&gt;0,M96="ja"),VLOOKUP(J96,Basisdaten!$B$19:$E$26,4,),"")</f>
        <v/>
      </c>
      <c r="O96" s="14" t="str">
        <f t="shared" si="9"/>
        <v/>
      </c>
      <c r="P96" s="13">
        <f t="shared" si="13"/>
        <v>1</v>
      </c>
      <c r="Q96" s="86">
        <f>TIME(Tabelle1[[#This Row],[Std. Start]],Tabelle1[[#This Row],[Min. Start]],)</f>
        <v>0</v>
      </c>
      <c r="R96" s="86">
        <f>TIME(Tabelle1[[#This Row],[Std. Ende]],Tabelle1[[#This Row],[Min. Ende]],)</f>
        <v>0</v>
      </c>
      <c r="S96" s="86" t="b">
        <f>OR(AND(Tabelle1[[#This Row],[Σ Arbeit p.Tag]]&gt;9,Tabelle1[[#This Row],[Σ Pause p.Tag]]&lt;Basisdaten!$D$14),AND(Tabelle1[[#This Row],[Σ Arbeit p.Tag]]&lt;=9,Tabelle1[[#This Row],[Σ Arbeit p.Tag]]&gt;6,Tabelle1[[#This Row],[Σ Pause p.Tag]]&lt;Basisdaten!$D$13))</f>
        <v>0</v>
      </c>
      <c r="T96" s="86" t="b">
        <f>(Tabelle1[[#This Row],[Σ Arbeit p.Tag]]&gt;Basisdaten!$D$12)</f>
        <v>0</v>
      </c>
    </row>
    <row r="97" spans="1:20" x14ac:dyDescent="0.15">
      <c r="A97" s="7" t="str">
        <f>IF(Tabelle1[[#This Row],[Tag]]=0,"",
IF(WEEKDAY(B97)=1,"So",
IF(WEEKDAY(B97)=2,"Mo",
IF(WEEKDAY(B97)=3,"Di",
IF(WEEKDAY(B97)=4,"Mi",
IF(WEEKDAY(B97)=5,"Do",
IF(WEEKDAY(B97)=6,"Fr",
IF(WEEKDAY(B97)=7,"Sa"))))))))</f>
        <v/>
      </c>
      <c r="B97" s="8"/>
      <c r="C97" s="9"/>
      <c r="D97" s="10"/>
      <c r="E97" s="9"/>
      <c r="F97" s="10"/>
      <c r="G97" s="97">
        <f t="shared" si="12"/>
        <v>0</v>
      </c>
      <c r="H97" s="94">
        <f>SUMIF(Tabelle1[Tag],Tabelle1[[#This Row],[Tag]],Tabelle1[Stunden])</f>
        <v>0</v>
      </c>
      <c r="I97" s="94" cm="1">
        <f t="array" ref="I97">24*(MAX(IF(EXACT(Tabelle1[Tag],Tabelle1[[#This Row],[Tag]]),Tabelle1[Ende]))
-MIN(IF(EXACT(Tabelle1[Tag],Tabelle1[[#This Row],[Tag]]),Tabelle1[Start])))
-SUMIF(Tabelle1[Tag],Tabelle1[[#This Row],[Tag]],Tabelle1[Stunden])</f>
        <v>0</v>
      </c>
      <c r="J97" s="11"/>
      <c r="K97" s="15"/>
      <c r="L97" s="54"/>
      <c r="M97" s="55" t="str">
        <f>IF(J97&lt;&gt;0,VLOOKUP(J97,Basisdaten!$B$19:$E$26,3,),"")</f>
        <v/>
      </c>
      <c r="N97" s="14" t="str">
        <f>IF(AND(J97&lt;&gt;0,M97="ja"),VLOOKUP(J97,Basisdaten!$B$19:$E$26,4,),"")</f>
        <v/>
      </c>
      <c r="O97" s="14" t="str">
        <f t="shared" si="9"/>
        <v/>
      </c>
      <c r="P97" s="13">
        <f t="shared" si="13"/>
        <v>1</v>
      </c>
      <c r="Q97" s="86">
        <f>TIME(Tabelle1[[#This Row],[Std. Start]],Tabelle1[[#This Row],[Min. Start]],)</f>
        <v>0</v>
      </c>
      <c r="R97" s="86">
        <f>TIME(Tabelle1[[#This Row],[Std. Ende]],Tabelle1[[#This Row],[Min. Ende]],)</f>
        <v>0</v>
      </c>
      <c r="S97" s="86" t="b">
        <f>OR(AND(Tabelle1[[#This Row],[Σ Arbeit p.Tag]]&gt;9,Tabelle1[[#This Row],[Σ Pause p.Tag]]&lt;Basisdaten!$D$14),AND(Tabelle1[[#This Row],[Σ Arbeit p.Tag]]&lt;=9,Tabelle1[[#This Row],[Σ Arbeit p.Tag]]&gt;6,Tabelle1[[#This Row],[Σ Pause p.Tag]]&lt;Basisdaten!$D$13))</f>
        <v>0</v>
      </c>
      <c r="T97" s="86" t="b">
        <f>(Tabelle1[[#This Row],[Σ Arbeit p.Tag]]&gt;Basisdaten!$D$12)</f>
        <v>0</v>
      </c>
    </row>
    <row r="98" spans="1:20" x14ac:dyDescent="0.15">
      <c r="A98" s="7" t="str">
        <f>IF(Tabelle1[[#This Row],[Tag]]=0,"",
IF(WEEKDAY(B98)=1,"So",
IF(WEEKDAY(B98)=2,"Mo",
IF(WEEKDAY(B98)=3,"Di",
IF(WEEKDAY(B98)=4,"Mi",
IF(WEEKDAY(B98)=5,"Do",
IF(WEEKDAY(B98)=6,"Fr",
IF(WEEKDAY(B98)=7,"Sa"))))))))</f>
        <v/>
      </c>
      <c r="B98" s="8"/>
      <c r="C98" s="9"/>
      <c r="D98" s="10"/>
      <c r="E98" s="9"/>
      <c r="F98" s="10"/>
      <c r="G98" s="97">
        <f t="shared" si="12"/>
        <v>0</v>
      </c>
      <c r="H98" s="94">
        <f>SUMIF(Tabelle1[Tag],Tabelle1[[#This Row],[Tag]],Tabelle1[Stunden])</f>
        <v>0</v>
      </c>
      <c r="I98" s="94" cm="1">
        <f t="array" ref="I98">24*(MAX(IF(EXACT(Tabelle1[Tag],Tabelle1[[#This Row],[Tag]]),Tabelle1[Ende]))
-MIN(IF(EXACT(Tabelle1[Tag],Tabelle1[[#This Row],[Tag]]),Tabelle1[Start])))
-SUMIF(Tabelle1[Tag],Tabelle1[[#This Row],[Tag]],Tabelle1[Stunden])</f>
        <v>0</v>
      </c>
      <c r="J98" s="11"/>
      <c r="K98" s="15"/>
      <c r="L98" s="54"/>
      <c r="M98" s="55" t="str">
        <f>IF(J98&lt;&gt;0,VLOOKUP(J98,Basisdaten!$B$19:$E$26,3,),"")</f>
        <v/>
      </c>
      <c r="N98" s="14" t="str">
        <f>IF(AND(J98&lt;&gt;0,M98="ja"),VLOOKUP(J98,Basisdaten!$B$19:$E$26,4,),"")</f>
        <v/>
      </c>
      <c r="O98" s="14" t="str">
        <f t="shared" si="9"/>
        <v/>
      </c>
      <c r="P98" s="13">
        <f t="shared" si="13"/>
        <v>1</v>
      </c>
      <c r="Q98" s="86">
        <f>TIME(Tabelle1[[#This Row],[Std. Start]],Tabelle1[[#This Row],[Min. Start]],)</f>
        <v>0</v>
      </c>
      <c r="R98" s="86">
        <f>TIME(Tabelle1[[#This Row],[Std. Ende]],Tabelle1[[#This Row],[Min. Ende]],)</f>
        <v>0</v>
      </c>
      <c r="S98" s="86" t="b">
        <f>OR(AND(Tabelle1[[#This Row],[Σ Arbeit p.Tag]]&gt;9,Tabelle1[[#This Row],[Σ Pause p.Tag]]&lt;Basisdaten!$D$14),AND(Tabelle1[[#This Row],[Σ Arbeit p.Tag]]&lt;=9,Tabelle1[[#This Row],[Σ Arbeit p.Tag]]&gt;6,Tabelle1[[#This Row],[Σ Pause p.Tag]]&lt;Basisdaten!$D$13))</f>
        <v>0</v>
      </c>
      <c r="T98" s="86" t="b">
        <f>(Tabelle1[[#This Row],[Σ Arbeit p.Tag]]&gt;Basisdaten!$D$12)</f>
        <v>0</v>
      </c>
    </row>
    <row r="99" spans="1:20" x14ac:dyDescent="0.15">
      <c r="A99" s="7" t="str">
        <f>IF(Tabelle1[[#This Row],[Tag]]=0,"",
IF(WEEKDAY(B99)=1,"So",
IF(WEEKDAY(B99)=2,"Mo",
IF(WEEKDAY(B99)=3,"Di",
IF(WEEKDAY(B99)=4,"Mi",
IF(WEEKDAY(B99)=5,"Do",
IF(WEEKDAY(B99)=6,"Fr",
IF(WEEKDAY(B99)=7,"Sa"))))))))</f>
        <v/>
      </c>
      <c r="B99" s="8"/>
      <c r="C99" s="9"/>
      <c r="D99" s="10"/>
      <c r="E99" s="9"/>
      <c r="F99" s="10"/>
      <c r="G99" s="97">
        <f t="shared" si="4"/>
        <v>0</v>
      </c>
      <c r="H99" s="94">
        <f>SUMIF(Tabelle1[Tag],Tabelle1[[#This Row],[Tag]],Tabelle1[Stunden])</f>
        <v>0</v>
      </c>
      <c r="I99" s="94" cm="1">
        <f t="array" ref="I99">24*(MAX(IF(EXACT(Tabelle1[Tag],Tabelle1[[#This Row],[Tag]]),Tabelle1[Ende]))
-MIN(IF(EXACT(Tabelle1[Tag],Tabelle1[[#This Row],[Tag]]),Tabelle1[Start])))
-SUMIF(Tabelle1[Tag],Tabelle1[[#This Row],[Tag]],Tabelle1[Stunden])</f>
        <v>0</v>
      </c>
      <c r="J99" s="11"/>
      <c r="K99" s="15"/>
      <c r="L99" s="54"/>
      <c r="M99" s="55" t="str">
        <f>IF(J99&lt;&gt;0,VLOOKUP(J99,Basisdaten!$B$19:$E$26,3,),"")</f>
        <v/>
      </c>
      <c r="N99" s="14" t="str">
        <f>IF(AND(J99&lt;&gt;0,M99="ja"),VLOOKUP(J99,Basisdaten!$B$19:$E$26,4,),"")</f>
        <v/>
      </c>
      <c r="O99" s="14" t="str">
        <f t="shared" si="9"/>
        <v/>
      </c>
      <c r="P99" s="13">
        <f>MONTH(B99)</f>
        <v>1</v>
      </c>
      <c r="Q99" s="86">
        <f>TIME(Tabelle1[[#This Row],[Std. Start]],Tabelle1[[#This Row],[Min. Start]],)</f>
        <v>0</v>
      </c>
      <c r="R99" s="86">
        <f>TIME(Tabelle1[[#This Row],[Std. Ende]],Tabelle1[[#This Row],[Min. Ende]],)</f>
        <v>0</v>
      </c>
      <c r="S99" s="86" t="b">
        <f>OR(AND(Tabelle1[[#This Row],[Σ Arbeit p.Tag]]&gt;9,Tabelle1[[#This Row],[Σ Pause p.Tag]]&lt;Basisdaten!$D$14),AND(Tabelle1[[#This Row],[Σ Arbeit p.Tag]]&lt;=9,Tabelle1[[#This Row],[Σ Arbeit p.Tag]]&gt;6,Tabelle1[[#This Row],[Σ Pause p.Tag]]&lt;Basisdaten!$D$13))</f>
        <v>0</v>
      </c>
      <c r="T99" s="86" t="b">
        <f>(Tabelle1[[#This Row],[Σ Arbeit p.Tag]]&gt;Basisdaten!$D$12)</f>
        <v>0</v>
      </c>
    </row>
    <row r="100" spans="1:20" x14ac:dyDescent="0.15">
      <c r="A100" s="7" t="str">
        <f>IF(Tabelle1[[#This Row],[Tag]]=0,"",
IF(WEEKDAY(B100)=1,"So",
IF(WEEKDAY(B100)=2,"Mo",
IF(WEEKDAY(B100)=3,"Di",
IF(WEEKDAY(B100)=4,"Mi",
IF(WEEKDAY(B100)=5,"Do",
IF(WEEKDAY(B100)=6,"Fr",
IF(WEEKDAY(B100)=7,"Sa"))))))))</f>
        <v/>
      </c>
      <c r="B100" s="8"/>
      <c r="C100" s="9"/>
      <c r="D100" s="10"/>
      <c r="E100" s="9"/>
      <c r="F100" s="10"/>
      <c r="G100" s="97">
        <f t="shared" si="4"/>
        <v>0</v>
      </c>
      <c r="H100" s="94">
        <f>SUMIF(Tabelle1[Tag],Tabelle1[[#This Row],[Tag]],Tabelle1[Stunden])</f>
        <v>0</v>
      </c>
      <c r="I100" s="94" cm="1">
        <f t="array" ref="I100">24*(MAX(IF(EXACT(Tabelle1[Tag],Tabelle1[[#This Row],[Tag]]),Tabelle1[Ende]))
-MIN(IF(EXACT(Tabelle1[Tag],Tabelle1[[#This Row],[Tag]]),Tabelle1[Start])))
-SUMIF(Tabelle1[Tag],Tabelle1[[#This Row],[Tag]],Tabelle1[Stunden])</f>
        <v>0</v>
      </c>
      <c r="J100" s="11"/>
      <c r="K100" s="15"/>
      <c r="L100" s="54"/>
      <c r="M100" s="55" t="str">
        <f>IF(J100&lt;&gt;0,VLOOKUP(J100,Basisdaten!$B$19:$E$26,3,),"")</f>
        <v/>
      </c>
      <c r="N100" s="14" t="str">
        <f>IF(AND(J100&lt;&gt;0,M100="ja"),VLOOKUP(J100,Basisdaten!$B$19:$E$26,4,),"")</f>
        <v/>
      </c>
      <c r="O100" s="14" t="str">
        <f t="shared" si="9"/>
        <v/>
      </c>
      <c r="P100" s="13">
        <f>MONTH(B100)</f>
        <v>1</v>
      </c>
      <c r="Q100" s="86">
        <f>TIME(Tabelle1[[#This Row],[Std. Start]],Tabelle1[[#This Row],[Min. Start]],)</f>
        <v>0</v>
      </c>
      <c r="R100" s="86">
        <f>TIME(Tabelle1[[#This Row],[Std. Ende]],Tabelle1[[#This Row],[Min. Ende]],)</f>
        <v>0</v>
      </c>
      <c r="S100" s="86" t="b">
        <f>OR(AND(Tabelle1[[#This Row],[Σ Arbeit p.Tag]]&gt;9,Tabelle1[[#This Row],[Σ Pause p.Tag]]&lt;Basisdaten!$D$14),AND(Tabelle1[[#This Row],[Σ Arbeit p.Tag]]&lt;=9,Tabelle1[[#This Row],[Σ Arbeit p.Tag]]&gt;6,Tabelle1[[#This Row],[Σ Pause p.Tag]]&lt;Basisdaten!$D$13))</f>
        <v>0</v>
      </c>
      <c r="T100" s="86" t="b">
        <f>(Tabelle1[[#This Row],[Σ Arbeit p.Tag]]&gt;Basisdaten!$D$12)</f>
        <v>0</v>
      </c>
    </row>
    <row r="101" spans="1:20" x14ac:dyDescent="0.15">
      <c r="A101" s="7" t="str">
        <f>IF(Tabelle1[[#This Row],[Tag]]=0,"",
IF(WEEKDAY(B101)=1,"So",
IF(WEEKDAY(B101)=2,"Mo",
IF(WEEKDAY(B101)=3,"Di",
IF(WEEKDAY(B101)=4,"Mi",
IF(WEEKDAY(B101)=5,"Do",
IF(WEEKDAY(B101)=6,"Fr",
IF(WEEKDAY(B101)=7,"Sa"))))))))</f>
        <v/>
      </c>
      <c r="B101" s="8"/>
      <c r="C101" s="9"/>
      <c r="D101" s="10"/>
      <c r="E101" s="9"/>
      <c r="F101" s="10"/>
      <c r="G101" s="97">
        <f t="shared" si="3"/>
        <v>0</v>
      </c>
      <c r="H101" s="94">
        <f>SUMIF(Tabelle1[Tag],Tabelle1[[#This Row],[Tag]],Tabelle1[Stunden])</f>
        <v>0</v>
      </c>
      <c r="I101" s="94" cm="1">
        <f t="array" ref="I101">24*(MAX(IF(EXACT(Tabelle1[Tag],Tabelle1[[#This Row],[Tag]]),Tabelle1[Ende]))
-MIN(IF(EXACT(Tabelle1[Tag],Tabelle1[[#This Row],[Tag]]),Tabelle1[Start])))
-SUMIF(Tabelle1[Tag],Tabelle1[[#This Row],[Tag]],Tabelle1[Stunden])</f>
        <v>0</v>
      </c>
      <c r="J101" s="11"/>
      <c r="K101" s="15"/>
      <c r="L101" s="54"/>
      <c r="M101" s="55" t="str">
        <f>IF(J101&lt;&gt;0,VLOOKUP(J101,Basisdaten!$B$19:$E$26,3,),"")</f>
        <v/>
      </c>
      <c r="N101" s="14" t="str">
        <f>IF(AND(J101&lt;&gt;0,M101="ja"),VLOOKUP(J101,Basisdaten!$B$19:$E$26,4,),"")</f>
        <v/>
      </c>
      <c r="O101" s="14" t="str">
        <f t="shared" si="9"/>
        <v/>
      </c>
      <c r="P101" s="13">
        <f>MONTH(B101)</f>
        <v>1</v>
      </c>
      <c r="Q101" s="86">
        <f>TIME(Tabelle1[[#This Row],[Std. Start]],Tabelle1[[#This Row],[Min. Start]],)</f>
        <v>0</v>
      </c>
      <c r="R101" s="86">
        <f>TIME(Tabelle1[[#This Row],[Std. Ende]],Tabelle1[[#This Row],[Min. Ende]],)</f>
        <v>0</v>
      </c>
      <c r="S101" s="86" t="b">
        <f>OR(AND(Tabelle1[[#This Row],[Σ Arbeit p.Tag]]&gt;9,Tabelle1[[#This Row],[Σ Pause p.Tag]]&lt;Basisdaten!$D$14),AND(Tabelle1[[#This Row],[Σ Arbeit p.Tag]]&lt;=9,Tabelle1[[#This Row],[Σ Arbeit p.Tag]]&gt;6,Tabelle1[[#This Row],[Σ Pause p.Tag]]&lt;Basisdaten!$D$13))</f>
        <v>0</v>
      </c>
      <c r="T101" s="86" t="b">
        <f>(Tabelle1[[#This Row],[Σ Arbeit p.Tag]]&gt;Basisdaten!$D$12)</f>
        <v>0</v>
      </c>
    </row>
    <row r="102" spans="1:20" x14ac:dyDescent="0.15">
      <c r="A102" s="7" t="str">
        <f>IF(Tabelle1[[#This Row],[Tag]]=0,"",
IF(WEEKDAY(B102)=1,"So",
IF(WEEKDAY(B102)=2,"Mo",
IF(WEEKDAY(B102)=3,"Di",
IF(WEEKDAY(B102)=4,"Mi",
IF(WEEKDAY(B102)=5,"Do",
IF(WEEKDAY(B102)=6,"Fr",
IF(WEEKDAY(B102)=7,"Sa"))))))))</f>
        <v/>
      </c>
      <c r="B102" s="8"/>
      <c r="C102" s="9"/>
      <c r="D102" s="10"/>
      <c r="E102" s="9"/>
      <c r="F102" s="10"/>
      <c r="G102" s="97">
        <f t="shared" si="3"/>
        <v>0</v>
      </c>
      <c r="H102" s="94">
        <f>SUMIF(Tabelle1[Tag],Tabelle1[[#This Row],[Tag]],Tabelle1[Stunden])</f>
        <v>0</v>
      </c>
      <c r="I102" s="94" cm="1">
        <f t="array" ref="I102">24*(MAX(IF(EXACT(Tabelle1[Tag],Tabelle1[[#This Row],[Tag]]),Tabelle1[Ende]))
-MIN(IF(EXACT(Tabelle1[Tag],Tabelle1[[#This Row],[Tag]]),Tabelle1[Start])))
-SUMIF(Tabelle1[Tag],Tabelle1[[#This Row],[Tag]],Tabelle1[Stunden])</f>
        <v>0</v>
      </c>
      <c r="J102" s="11"/>
      <c r="K102" s="15"/>
      <c r="L102" s="54"/>
      <c r="M102" s="55" t="str">
        <f>IF(J102&lt;&gt;0,VLOOKUP(J102,Basisdaten!$B$19:$E$26,3,),"")</f>
        <v/>
      </c>
      <c r="N102" s="14" t="str">
        <f>IF(AND(J102&lt;&gt;0,M102="ja"),VLOOKUP(J102,Basisdaten!$B$19:$E$26,4,),"")</f>
        <v/>
      </c>
      <c r="O102" s="14" t="str">
        <f t="shared" si="9"/>
        <v/>
      </c>
      <c r="P102" s="13">
        <f>MONTH(B102)</f>
        <v>1</v>
      </c>
      <c r="Q102" s="86">
        <f>TIME(Tabelle1[[#This Row],[Std. Start]],Tabelle1[[#This Row],[Min. Start]],)</f>
        <v>0</v>
      </c>
      <c r="R102" s="86">
        <f>TIME(Tabelle1[[#This Row],[Std. Ende]],Tabelle1[[#This Row],[Min. Ende]],)</f>
        <v>0</v>
      </c>
      <c r="S102" s="86" t="b">
        <f>OR(AND(Tabelle1[[#This Row],[Σ Arbeit p.Tag]]&gt;9,Tabelle1[[#This Row],[Σ Pause p.Tag]]&lt;Basisdaten!$D$14),AND(Tabelle1[[#This Row],[Σ Arbeit p.Tag]]&lt;=9,Tabelle1[[#This Row],[Σ Arbeit p.Tag]]&gt;6,Tabelle1[[#This Row],[Σ Pause p.Tag]]&lt;Basisdaten!$D$13))</f>
        <v>0</v>
      </c>
      <c r="T102" s="86" t="b">
        <f>(Tabelle1[[#This Row],[Σ Arbeit p.Tag]]&gt;Basisdaten!$D$12)</f>
        <v>0</v>
      </c>
    </row>
    <row r="103" spans="1:20" ht="15" thickBot="1" x14ac:dyDescent="0.2">
      <c r="A103" s="7" t="str">
        <f>IF(Tabelle1[[#This Row],[Tag]]=0,"",
IF(WEEKDAY(B103)=1,"So",
IF(WEEKDAY(B103)=2,"Mo",
IF(WEEKDAY(B103)=3,"Di",
IF(WEEKDAY(B103)=4,"Mi",
IF(WEEKDAY(B103)=5,"Do",
IF(WEEKDAY(B103)=6,"Fr",
IF(WEEKDAY(B103)=7,"Sa"))))))))</f>
        <v/>
      </c>
      <c r="B103" s="8"/>
      <c r="C103" s="16"/>
      <c r="D103" s="17"/>
      <c r="E103" s="16"/>
      <c r="F103" s="17"/>
      <c r="G103" s="97">
        <f t="shared" si="3"/>
        <v>0</v>
      </c>
      <c r="H103" s="94">
        <f>SUMIF(Tabelle1[Tag],Tabelle1[[#This Row],[Tag]],Tabelle1[Stunden])</f>
        <v>0</v>
      </c>
      <c r="I103" s="94" cm="1">
        <f t="array" ref="I103">24*(MAX(IF(EXACT(Tabelle1[Tag],Tabelle1[[#This Row],[Tag]]),Tabelle1[Ende]))
-MIN(IF(EXACT(Tabelle1[Tag],Tabelle1[[#This Row],[Tag]]),Tabelle1[Start])))
-SUMIF(Tabelle1[Tag],Tabelle1[[#This Row],[Tag]],Tabelle1[Stunden])</f>
        <v>0</v>
      </c>
      <c r="J103" s="11"/>
      <c r="K103" s="15"/>
      <c r="L103" s="54"/>
      <c r="M103" s="55" t="str">
        <f>IF(J103&lt;&gt;0,VLOOKUP(J103,Basisdaten!$B$19:$E$26,3,),"")</f>
        <v/>
      </c>
      <c r="N103" s="14" t="str">
        <f>IF(AND(J103&lt;&gt;0,M103="ja"),VLOOKUP(J103,Basisdaten!$B$19:$E$26,4,),"")</f>
        <v/>
      </c>
      <c r="O103" s="14" t="str">
        <f t="shared" si="9"/>
        <v/>
      </c>
      <c r="P103" s="13">
        <f>MONTH(B103)</f>
        <v>1</v>
      </c>
      <c r="Q103" s="86">
        <f>TIME(Tabelle1[[#This Row],[Std. Start]],Tabelle1[[#This Row],[Min. Start]],)</f>
        <v>0</v>
      </c>
      <c r="R103" s="86">
        <f>TIME(Tabelle1[[#This Row],[Std. Ende]],Tabelle1[[#This Row],[Min. Ende]],)</f>
        <v>0</v>
      </c>
      <c r="S103" s="86" t="b">
        <f>OR(AND(Tabelle1[[#This Row],[Σ Arbeit p.Tag]]&gt;9,Tabelle1[[#This Row],[Σ Pause p.Tag]]&lt;Basisdaten!$D$14),AND(Tabelle1[[#This Row],[Σ Arbeit p.Tag]]&lt;=9,Tabelle1[[#This Row],[Σ Arbeit p.Tag]]&gt;6,Tabelle1[[#This Row],[Σ Pause p.Tag]]&lt;Basisdaten!$D$13))</f>
        <v>0</v>
      </c>
      <c r="T103" s="86" t="b">
        <f>(Tabelle1[[#This Row],[Σ Arbeit p.Tag]]&gt;Basisdaten!$D$12)</f>
        <v>0</v>
      </c>
    </row>
    <row r="104" spans="1:20" x14ac:dyDescent="0.15">
      <c r="A104" s="2"/>
      <c r="B104" s="2"/>
      <c r="C104" s="2"/>
      <c r="D104" s="2"/>
      <c r="E104" s="2"/>
      <c r="F104" s="46" t="s">
        <v>50</v>
      </c>
      <c r="G104" s="45">
        <f>SUM(G8:G103)</f>
        <v>75</v>
      </c>
      <c r="H104" s="95"/>
      <c r="I104" s="95"/>
      <c r="J104" s="2"/>
      <c r="K104" s="2"/>
      <c r="L104" s="2"/>
      <c r="M104" s="56"/>
      <c r="N104" s="46" t="s">
        <v>50</v>
      </c>
      <c r="O104" s="39">
        <f>SUM(O8:O103)</f>
        <v>6265</v>
      </c>
      <c r="P104" s="2"/>
      <c r="Q104" s="90"/>
      <c r="R104" s="90"/>
      <c r="S104" s="90"/>
      <c r="T104" s="90"/>
    </row>
    <row r="105" spans="1:20" x14ac:dyDescent="0.15">
      <c r="A105" s="2"/>
      <c r="B105" s="2"/>
      <c r="C105" s="2"/>
      <c r="D105" s="2"/>
      <c r="E105" s="2"/>
      <c r="F105" s="46" t="s">
        <v>51</v>
      </c>
      <c r="G105" s="45">
        <f>SUBTOTAL(9,G8:G103)</f>
        <v>75</v>
      </c>
      <c r="H105" s="95"/>
      <c r="I105" s="95"/>
      <c r="J105" s="3"/>
      <c r="K105" s="2"/>
      <c r="L105" s="2"/>
      <c r="M105" s="56"/>
      <c r="N105" s="46" t="s">
        <v>51</v>
      </c>
      <c r="O105" s="39">
        <f>SUBTOTAL(9,O8:O103)</f>
        <v>6265</v>
      </c>
      <c r="P105" s="2"/>
      <c r="Q105" s="90"/>
      <c r="R105" s="90"/>
      <c r="S105" s="90"/>
      <c r="T105" s="90"/>
    </row>
  </sheetData>
  <mergeCells count="2">
    <mergeCell ref="C6:D6"/>
    <mergeCell ref="E6:F6"/>
  </mergeCells>
  <phoneticPr fontId="4" type="noConversion"/>
  <conditionalFormatting sqref="I8:I103">
    <cfRule type="expression" dxfId="24" priority="2">
      <formula>$S8</formula>
    </cfRule>
  </conditionalFormatting>
  <conditionalFormatting sqref="H8:H103">
    <cfRule type="expression" dxfId="23" priority="1">
      <formula>$T8</formula>
    </cfRule>
  </conditionalFormatting>
  <pageMargins left="0.70866141732283472" right="0.70866141732283472" top="0.78740157480314965" bottom="0.78740157480314965" header="0.31496062992125984" footer="0.31496062992125984"/>
  <pageSetup paperSize="9" scale="54" fitToHeight="50"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34F7409-4522-483B-ADBF-50D0993735D8}">
          <x14:formula1>
            <xm:f>Basisdaten!$B$19:$B$26</xm:f>
          </x14:formula1>
          <xm:sqref>J8:J103</xm:sqref>
        </x14:dataValidation>
        <x14:dataValidation type="list" allowBlank="1" showInputMessage="1" showErrorMessage="1" xr:uid="{0865E59F-0499-470E-B551-346441FB8C9F}">
          <x14:formula1>
            <xm:f>Basisdaten!$G$19:$G$26</xm:f>
          </x14:formula1>
          <xm:sqref>K8:K103</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CDBB-F819-441C-9370-666071B3E277}">
  <sheetPr>
    <tabColor rgb="FFEF9D3E"/>
    <pageSetUpPr fitToPage="1"/>
  </sheetPr>
  <dimension ref="A1:E57"/>
  <sheetViews>
    <sheetView showGridLines="0" workbookViewId="0">
      <pane ySplit="7" topLeftCell="A8" activePane="bottomLeft" state="frozen"/>
      <selection activeCell="B5" sqref="B5"/>
      <selection pane="bottomLeft" activeCell="B5" sqref="B5"/>
    </sheetView>
  </sheetViews>
  <sheetFormatPr baseColWidth="10" defaultColWidth="11.5" defaultRowHeight="14" x14ac:dyDescent="0.15"/>
  <cols>
    <col min="1" max="1" width="3.5" style="1" customWidth="1"/>
    <col min="2" max="2" width="11.5" style="1"/>
    <col min="3" max="3" width="11.5" style="4"/>
    <col min="4" max="4" width="24.5" style="1" customWidth="1"/>
    <col min="5" max="16384" width="11.5" style="1"/>
  </cols>
  <sheetData>
    <row r="1" spans="1:5" ht="16" x14ac:dyDescent="0.2">
      <c r="C1" s="59"/>
      <c r="D1" s="18" t="s">
        <v>103</v>
      </c>
    </row>
    <row r="2" spans="1:5" ht="16" x14ac:dyDescent="0.15">
      <c r="C2" s="66" t="s">
        <v>63</v>
      </c>
      <c r="D2" s="66">
        <f>COUNTIF($C$8:$C$57,C2)</f>
        <v>25</v>
      </c>
      <c r="E2" s="1" t="str">
        <f xml:space="preserve"> "… " &amp; Basisdaten!D9-D2 &amp; " Tage Resturlaub"</f>
        <v>… 5 Tage Resturlaub</v>
      </c>
    </row>
    <row r="3" spans="1:5" ht="16" x14ac:dyDescent="0.15">
      <c r="C3" s="66" t="s">
        <v>95</v>
      </c>
      <c r="D3" s="66">
        <f>COUNTIF($C$8:$C$57,C3)</f>
        <v>14</v>
      </c>
    </row>
    <row r="4" spans="1:5" ht="4.75" customHeight="1" x14ac:dyDescent="0.15">
      <c r="C4" s="1"/>
    </row>
    <row r="5" spans="1:5" ht="16" x14ac:dyDescent="0.15">
      <c r="C5" s="66" t="s">
        <v>92</v>
      </c>
      <c r="D5" s="66">
        <f>SUM(D2:D4)</f>
        <v>39</v>
      </c>
    </row>
    <row r="7" spans="1:5" x14ac:dyDescent="0.15">
      <c r="B7" s="32" t="s">
        <v>17</v>
      </c>
      <c r="C7" s="36" t="s">
        <v>62</v>
      </c>
      <c r="D7" s="36" t="s">
        <v>64</v>
      </c>
    </row>
    <row r="8" spans="1:5" x14ac:dyDescent="0.15">
      <c r="A8" s="7" t="str">
        <f>IF(B8=0,"",
IF(WEEKDAY(B8)=1,"So",
IF(WEEKDAY(B8)=2,"Mo",
IF(WEEKDAY(B8)=3,"Di",
IF(WEEKDAY(B8)=4,"Mi",
IF(WEEKDAY(B8)=5,"Do",
IF(WEEKDAY(B8)=6,"Fr",
IF(WEEKDAY(B8)=7,"Sa"))))))))</f>
        <v>Mo</v>
      </c>
      <c r="B8" s="58">
        <v>44200</v>
      </c>
      <c r="C8" s="4" t="s">
        <v>63</v>
      </c>
    </row>
    <row r="9" spans="1:5" x14ac:dyDescent="0.15">
      <c r="A9" s="7" t="str">
        <f t="shared" ref="A9:A25" si="0">IF(B9=0,"",
IF(WEEKDAY(B9)=1,"So",
IF(WEEKDAY(B9)=2,"Mo",
IF(WEEKDAY(B9)=3,"Di",
IF(WEEKDAY(B9)=4,"Mi",
IF(WEEKDAY(B9)=5,"Do",
IF(WEEKDAY(B9)=6,"Fr",
IF(WEEKDAY(B9)=7,"Sa"))))))))</f>
        <v>Di</v>
      </c>
      <c r="B9" s="58">
        <v>44201</v>
      </c>
      <c r="C9" s="4" t="s">
        <v>63</v>
      </c>
    </row>
    <row r="10" spans="1:5" x14ac:dyDescent="0.15">
      <c r="A10" s="7" t="str">
        <f t="shared" si="0"/>
        <v>Do</v>
      </c>
      <c r="B10" s="58">
        <v>44203</v>
      </c>
      <c r="C10" s="4" t="s">
        <v>63</v>
      </c>
    </row>
    <row r="11" spans="1:5" x14ac:dyDescent="0.15">
      <c r="A11" s="7" t="str">
        <f t="shared" si="0"/>
        <v>Fr</v>
      </c>
      <c r="B11" s="58">
        <v>44204</v>
      </c>
      <c r="C11" s="4" t="s">
        <v>63</v>
      </c>
    </row>
    <row r="12" spans="1:5" x14ac:dyDescent="0.15">
      <c r="A12" s="7" t="str">
        <f t="shared" si="0"/>
        <v>Mo</v>
      </c>
      <c r="B12" s="58">
        <v>44207</v>
      </c>
      <c r="C12" s="4" t="s">
        <v>63</v>
      </c>
    </row>
    <row r="13" spans="1:5" x14ac:dyDescent="0.15">
      <c r="A13" s="7" t="str">
        <f t="shared" si="0"/>
        <v>Di</v>
      </c>
      <c r="B13" s="58">
        <v>44208</v>
      </c>
      <c r="C13" s="4" t="s">
        <v>63</v>
      </c>
    </row>
    <row r="14" spans="1:5" x14ac:dyDescent="0.15">
      <c r="A14" s="7" t="str">
        <f t="shared" si="0"/>
        <v>Mi</v>
      </c>
      <c r="B14" s="58">
        <v>44209</v>
      </c>
      <c r="C14" s="4" t="s">
        <v>63</v>
      </c>
    </row>
    <row r="15" spans="1:5" x14ac:dyDescent="0.15">
      <c r="A15" s="7" t="str">
        <f t="shared" si="0"/>
        <v>Do</v>
      </c>
      <c r="B15" s="58">
        <v>44210</v>
      </c>
      <c r="C15" s="4" t="s">
        <v>63</v>
      </c>
    </row>
    <row r="16" spans="1:5" x14ac:dyDescent="0.15">
      <c r="A16" s="7" t="str">
        <f t="shared" si="0"/>
        <v>Fr</v>
      </c>
      <c r="B16" s="58">
        <v>44211</v>
      </c>
      <c r="C16" s="4" t="s">
        <v>63</v>
      </c>
    </row>
    <row r="17" spans="1:3" x14ac:dyDescent="0.15">
      <c r="A17" s="7" t="str">
        <f>IF(B17=0,"",
IF(WEEKDAY(B17)=1,"So",
IF(WEEKDAY(B17)=2,"Mo",
IF(WEEKDAY(B17)=3,"Di",
IF(WEEKDAY(B17)=4,"Mi",
IF(WEEKDAY(B17)=5,"Do",
IF(WEEKDAY(B17)=6,"Fr",
IF(WEEKDAY(B17)=7,"Sa"))))))))</f>
        <v>Mo</v>
      </c>
      <c r="B17" s="58">
        <v>44214</v>
      </c>
      <c r="C17" s="4" t="s">
        <v>63</v>
      </c>
    </row>
    <row r="18" spans="1:3" x14ac:dyDescent="0.15">
      <c r="A18" s="7" t="str">
        <f t="shared" si="0"/>
        <v>Di</v>
      </c>
      <c r="B18" s="58">
        <v>44215</v>
      </c>
      <c r="C18" s="4" t="s">
        <v>63</v>
      </c>
    </row>
    <row r="19" spans="1:3" x14ac:dyDescent="0.15">
      <c r="A19" s="7" t="str">
        <f t="shared" si="0"/>
        <v>Mi</v>
      </c>
      <c r="B19" s="58">
        <v>44216</v>
      </c>
      <c r="C19" s="4" t="s">
        <v>63</v>
      </c>
    </row>
    <row r="20" spans="1:3" x14ac:dyDescent="0.15">
      <c r="A20" s="7" t="str">
        <f t="shared" si="0"/>
        <v>Do</v>
      </c>
      <c r="B20" s="58">
        <v>44217</v>
      </c>
      <c r="C20" s="4" t="s">
        <v>63</v>
      </c>
    </row>
    <row r="21" spans="1:3" x14ac:dyDescent="0.15">
      <c r="A21" s="7" t="str">
        <f t="shared" si="0"/>
        <v>Fr</v>
      </c>
      <c r="B21" s="58">
        <v>44218</v>
      </c>
      <c r="C21" s="4" t="s">
        <v>63</v>
      </c>
    </row>
    <row r="22" spans="1:3" x14ac:dyDescent="0.15">
      <c r="A22" s="7" t="str">
        <f t="shared" si="0"/>
        <v>Mo</v>
      </c>
      <c r="B22" s="58">
        <v>44221</v>
      </c>
      <c r="C22" s="4" t="s">
        <v>63</v>
      </c>
    </row>
    <row r="23" spans="1:3" x14ac:dyDescent="0.15">
      <c r="A23" s="7" t="str">
        <f t="shared" si="0"/>
        <v>Di</v>
      </c>
      <c r="B23" s="58">
        <v>44222</v>
      </c>
      <c r="C23" s="4" t="s">
        <v>63</v>
      </c>
    </row>
    <row r="24" spans="1:3" x14ac:dyDescent="0.15">
      <c r="A24" s="7" t="str">
        <f t="shared" si="0"/>
        <v>Mi</v>
      </c>
      <c r="B24" s="58">
        <v>44223</v>
      </c>
      <c r="C24" s="4" t="s">
        <v>63</v>
      </c>
    </row>
    <row r="25" spans="1:3" x14ac:dyDescent="0.15">
      <c r="A25" s="7" t="str">
        <f t="shared" si="0"/>
        <v>Do</v>
      </c>
      <c r="B25" s="58">
        <v>44224</v>
      </c>
      <c r="C25" s="4" t="s">
        <v>63</v>
      </c>
    </row>
    <row r="26" spans="1:3" x14ac:dyDescent="0.15">
      <c r="A26" s="7" t="str">
        <f>IF(B26=0,"",
IF(WEEKDAY(B26)=1,"So",
IF(WEEKDAY(B26)=2,"Mo",
IF(WEEKDAY(B26)=3,"Di",
IF(WEEKDAY(B26)=4,"Mi",
IF(WEEKDAY(B26)=5,"Do",
IF(WEEKDAY(B26)=6,"Fr",
IF(WEEKDAY(B26)=7,"Sa"))))))))</f>
        <v>Fr</v>
      </c>
      <c r="B26" s="58">
        <v>44225</v>
      </c>
      <c r="C26" s="4" t="s">
        <v>63</v>
      </c>
    </row>
    <row r="27" spans="1:3" x14ac:dyDescent="0.15">
      <c r="A27" s="7" t="str">
        <f t="shared" ref="A27:A29" si="1">IF(B27=0,"",
IF(WEEKDAY(B27)=1,"So",
IF(WEEKDAY(B27)=2,"Mo",
IF(WEEKDAY(B27)=3,"Di",
IF(WEEKDAY(B27)=4,"Mi",
IF(WEEKDAY(B27)=5,"Do",
IF(WEEKDAY(B27)=6,"Fr",
IF(WEEKDAY(B27)=7,"Sa"))))))))</f>
        <v>Mi</v>
      </c>
      <c r="B27" s="58">
        <v>44377</v>
      </c>
      <c r="C27" s="4" t="s">
        <v>63</v>
      </c>
    </row>
    <row r="28" spans="1:3" x14ac:dyDescent="0.15">
      <c r="A28" s="7" t="str">
        <f t="shared" si="1"/>
        <v>Do</v>
      </c>
      <c r="B28" s="58">
        <v>44378</v>
      </c>
      <c r="C28" s="4" t="s">
        <v>63</v>
      </c>
    </row>
    <row r="29" spans="1:3" x14ac:dyDescent="0.15">
      <c r="A29" s="7" t="str">
        <f t="shared" si="1"/>
        <v>Fr</v>
      </c>
      <c r="B29" s="58">
        <v>44379</v>
      </c>
      <c r="C29" s="4" t="s">
        <v>95</v>
      </c>
    </row>
    <row r="30" spans="1:3" x14ac:dyDescent="0.15">
      <c r="A30" s="7" t="str">
        <f t="shared" ref="A30:A33" si="2">IF(B30=0,"",
IF(WEEKDAY(B30)=1,"So",
IF(WEEKDAY(B30)=2,"Mo",
IF(WEEKDAY(B30)=3,"Di",
IF(WEEKDAY(B30)=4,"Mi",
IF(WEEKDAY(B30)=5,"Do",
IF(WEEKDAY(B30)=6,"Fr",
IF(WEEKDAY(B30)=7,"Sa"))))))))</f>
        <v>Mo</v>
      </c>
      <c r="B30" s="58">
        <v>44382</v>
      </c>
      <c r="C30" s="4" t="s">
        <v>95</v>
      </c>
    </row>
    <row r="31" spans="1:3" x14ac:dyDescent="0.15">
      <c r="A31" s="7" t="str">
        <f t="shared" si="2"/>
        <v>Di</v>
      </c>
      <c r="B31" s="58">
        <v>44383</v>
      </c>
      <c r="C31" s="4" t="s">
        <v>95</v>
      </c>
    </row>
    <row r="32" spans="1:3" x14ac:dyDescent="0.15">
      <c r="A32" s="7" t="str">
        <f t="shared" si="2"/>
        <v>Mi</v>
      </c>
      <c r="B32" s="58">
        <v>44384</v>
      </c>
      <c r="C32" s="4" t="s">
        <v>95</v>
      </c>
    </row>
    <row r="33" spans="1:3" x14ac:dyDescent="0.15">
      <c r="A33" s="7" t="str">
        <f t="shared" si="2"/>
        <v>Do</v>
      </c>
      <c r="B33" s="58">
        <v>44385</v>
      </c>
      <c r="C33" s="4" t="s">
        <v>95</v>
      </c>
    </row>
    <row r="34" spans="1:3" x14ac:dyDescent="0.15">
      <c r="A34" s="7" t="str">
        <f t="shared" ref="A34:A37" si="3">IF(B34=0,"",
IF(WEEKDAY(B34)=1,"So",
IF(WEEKDAY(B34)=2,"Mo",
IF(WEEKDAY(B34)=3,"Di",
IF(WEEKDAY(B34)=4,"Mi",
IF(WEEKDAY(B34)=5,"Do",
IF(WEEKDAY(B34)=6,"Fr",
IF(WEEKDAY(B34)=7,"Sa"))))))))</f>
        <v>Fr</v>
      </c>
      <c r="B34" s="58">
        <v>44386</v>
      </c>
      <c r="C34" s="4" t="s">
        <v>95</v>
      </c>
    </row>
    <row r="35" spans="1:3" x14ac:dyDescent="0.15">
      <c r="A35" s="7" t="str">
        <f t="shared" si="3"/>
        <v>Mo</v>
      </c>
      <c r="B35" s="58">
        <v>44389</v>
      </c>
      <c r="C35" s="4" t="s">
        <v>95</v>
      </c>
    </row>
    <row r="36" spans="1:3" x14ac:dyDescent="0.15">
      <c r="A36" s="7" t="str">
        <f t="shared" si="3"/>
        <v>Di</v>
      </c>
      <c r="B36" s="58">
        <v>44390</v>
      </c>
      <c r="C36" s="4" t="s">
        <v>95</v>
      </c>
    </row>
    <row r="37" spans="1:3" x14ac:dyDescent="0.15">
      <c r="A37" s="7" t="str">
        <f t="shared" si="3"/>
        <v>Mi</v>
      </c>
      <c r="B37" s="58">
        <v>44391</v>
      </c>
      <c r="C37" s="4" t="s">
        <v>95</v>
      </c>
    </row>
    <row r="38" spans="1:3" x14ac:dyDescent="0.15">
      <c r="A38" s="7" t="str">
        <f t="shared" ref="A38:A48" si="4">IF(B38=0,"",
IF(WEEKDAY(B38)=1,"So",
IF(WEEKDAY(B38)=2,"Mo",
IF(WEEKDAY(B38)=3,"Di",
IF(WEEKDAY(B38)=4,"Mi",
IF(WEEKDAY(B38)=5,"Do",
IF(WEEKDAY(B38)=6,"Fr",
IF(WEEKDAY(B38)=7,"Sa"))))))))</f>
        <v>Do</v>
      </c>
      <c r="B38" s="58">
        <v>44392</v>
      </c>
      <c r="C38" s="4" t="s">
        <v>95</v>
      </c>
    </row>
    <row r="39" spans="1:3" x14ac:dyDescent="0.15">
      <c r="A39" s="7" t="str">
        <f t="shared" si="4"/>
        <v>Fr</v>
      </c>
      <c r="B39" s="58">
        <v>44393</v>
      </c>
      <c r="C39" s="4" t="s">
        <v>95</v>
      </c>
    </row>
    <row r="40" spans="1:3" x14ac:dyDescent="0.15">
      <c r="A40" s="7" t="str">
        <f t="shared" si="4"/>
        <v>Mo</v>
      </c>
      <c r="B40" s="58">
        <v>44396</v>
      </c>
      <c r="C40" s="4" t="s">
        <v>95</v>
      </c>
    </row>
    <row r="41" spans="1:3" x14ac:dyDescent="0.15">
      <c r="A41" s="7" t="str">
        <f t="shared" si="4"/>
        <v>Di</v>
      </c>
      <c r="B41" s="58">
        <v>44397</v>
      </c>
      <c r="C41" s="4" t="s">
        <v>95</v>
      </c>
    </row>
    <row r="42" spans="1:3" x14ac:dyDescent="0.15">
      <c r="A42" s="7" t="str">
        <f t="shared" si="4"/>
        <v>Mi</v>
      </c>
      <c r="B42" s="58">
        <v>44398</v>
      </c>
      <c r="C42" s="4" t="s">
        <v>95</v>
      </c>
    </row>
    <row r="43" spans="1:3" x14ac:dyDescent="0.15">
      <c r="A43" s="7" t="str">
        <f t="shared" si="4"/>
        <v>Mi</v>
      </c>
      <c r="B43" s="58">
        <v>44398</v>
      </c>
      <c r="C43" s="4" t="s">
        <v>63</v>
      </c>
    </row>
    <row r="44" spans="1:3" x14ac:dyDescent="0.15">
      <c r="A44" s="7" t="str">
        <f t="shared" si="4"/>
        <v>Do</v>
      </c>
      <c r="B44" s="58">
        <v>44406</v>
      </c>
      <c r="C44" s="4" t="s">
        <v>63</v>
      </c>
    </row>
    <row r="45" spans="1:3" x14ac:dyDescent="0.15">
      <c r="A45" s="7" t="str">
        <f t="shared" si="4"/>
        <v>Fr</v>
      </c>
      <c r="B45" s="58">
        <v>44407</v>
      </c>
      <c r="C45" s="4" t="s">
        <v>63</v>
      </c>
    </row>
    <row r="46" spans="1:3" x14ac:dyDescent="0.15">
      <c r="A46" s="7" t="str">
        <f t="shared" si="4"/>
        <v>Di</v>
      </c>
      <c r="B46" s="58">
        <v>44453</v>
      </c>
      <c r="C46" s="4" t="s">
        <v>63</v>
      </c>
    </row>
    <row r="47" spans="1:3" x14ac:dyDescent="0.15">
      <c r="A47" s="7" t="str">
        <f t="shared" si="4"/>
        <v/>
      </c>
      <c r="B47" s="58"/>
    </row>
    <row r="48" spans="1:3" x14ac:dyDescent="0.15">
      <c r="A48" s="7" t="str">
        <f t="shared" si="4"/>
        <v/>
      </c>
      <c r="B48" s="58"/>
    </row>
    <row r="49" spans="1:2" x14ac:dyDescent="0.15">
      <c r="A49" s="7" t="str">
        <f t="shared" ref="A49:A57" si="5">IF(B49=0,"",
IF(WEEKDAY(B49)=1,"So",
IF(WEEKDAY(B49)=2,"Mo",
IF(WEEKDAY(B49)=3,"Di",
IF(WEEKDAY(B49)=4,"Mi",
IF(WEEKDAY(B49)=5,"Do",
IF(WEEKDAY(B49)=6,"Fr",
IF(WEEKDAY(B49)=7,"Sa"))))))))</f>
        <v/>
      </c>
      <c r="B49" s="58"/>
    </row>
    <row r="50" spans="1:2" x14ac:dyDescent="0.15">
      <c r="A50" s="7" t="str">
        <f t="shared" si="5"/>
        <v/>
      </c>
      <c r="B50" s="58"/>
    </row>
    <row r="51" spans="1:2" x14ac:dyDescent="0.15">
      <c r="A51" s="7" t="str">
        <f t="shared" si="5"/>
        <v/>
      </c>
      <c r="B51" s="58"/>
    </row>
    <row r="52" spans="1:2" x14ac:dyDescent="0.15">
      <c r="A52" s="7" t="str">
        <f t="shared" si="5"/>
        <v/>
      </c>
      <c r="B52" s="58"/>
    </row>
    <row r="53" spans="1:2" x14ac:dyDescent="0.15">
      <c r="A53" s="7" t="str">
        <f t="shared" si="5"/>
        <v/>
      </c>
      <c r="B53" s="58"/>
    </row>
    <row r="54" spans="1:2" x14ac:dyDescent="0.15">
      <c r="A54" s="7" t="str">
        <f t="shared" si="5"/>
        <v/>
      </c>
      <c r="B54" s="58"/>
    </row>
    <row r="55" spans="1:2" x14ac:dyDescent="0.15">
      <c r="A55" s="7" t="str">
        <f t="shared" si="5"/>
        <v/>
      </c>
      <c r="B55" s="58"/>
    </row>
    <row r="56" spans="1:2" x14ac:dyDescent="0.15">
      <c r="A56" s="7" t="str">
        <f t="shared" si="5"/>
        <v/>
      </c>
      <c r="B56" s="58"/>
    </row>
    <row r="57" spans="1:2" x14ac:dyDescent="0.15">
      <c r="A57" s="7" t="str">
        <f t="shared" si="5"/>
        <v/>
      </c>
      <c r="B57" s="58"/>
    </row>
  </sheetData>
  <conditionalFormatting sqref="C8:C42 C44:C57">
    <cfRule type="expression" dxfId="1" priority="2">
      <formula>EXACT($C8,$C$3)</formula>
    </cfRule>
  </conditionalFormatting>
  <conditionalFormatting sqref="C43">
    <cfRule type="expression" dxfId="0" priority="1">
      <formula>EXACT($C43,$C$3)</formula>
    </cfRule>
  </conditionalFormatting>
  <dataValidations count="1">
    <dataValidation type="list" allowBlank="1" showInputMessage="1" showErrorMessage="1" sqref="C8:C57" xr:uid="{142B08E8-224A-4D03-A2E6-72685898D839}">
      <formula1>$C$2:$C$4</formula1>
    </dataValidation>
  </dataValidations>
  <pageMargins left="0.70866141732283472" right="0.70866141732283472" top="0.78740157480314965" bottom="0.78740157480314965" header="0.31496062992125984" footer="0.31496062992125984"/>
  <pageSetup paperSize="9" scale="80" fitToHeight="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0E37-45AA-4917-A831-EE28FA90A00D}">
  <sheetPr>
    <tabColor rgb="FF244D80"/>
    <outlinePr summaryBelow="0" summaryRight="0"/>
    <pageSetUpPr fitToPage="1"/>
  </sheetPr>
  <dimension ref="B1:N18"/>
  <sheetViews>
    <sheetView showGridLines="0" zoomScale="85" zoomScaleNormal="85" workbookViewId="0">
      <pane ySplit="4" topLeftCell="A5" activePane="bottomLeft" state="frozen"/>
      <selection pane="bottomLeft" activeCell="H27" sqref="H27"/>
    </sheetView>
  </sheetViews>
  <sheetFormatPr baseColWidth="10" defaultColWidth="11.5" defaultRowHeight="16" outlineLevelCol="1" x14ac:dyDescent="0.2"/>
  <cols>
    <col min="1" max="1" width="4.1640625" style="1" customWidth="1"/>
    <col min="2" max="2" width="22.83203125" style="64" customWidth="1"/>
    <col min="3" max="4" width="11.5" style="4" customWidth="1" outlineLevel="1"/>
    <col min="5" max="5" width="13.6640625" style="4" customWidth="1" outlineLevel="1"/>
    <col min="6" max="6" width="16.5" style="4" customWidth="1" outlineLevel="1"/>
    <col min="7" max="8" width="11.5" style="4" customWidth="1" outlineLevel="1"/>
    <col min="9" max="9" width="18.83203125" style="61" customWidth="1" collapsed="1"/>
    <col min="10" max="10" width="22.5" style="61" hidden="1" customWidth="1" outlineLevel="1"/>
    <col min="11" max="11" width="26.6640625" style="61" customWidth="1"/>
    <col min="12" max="13" width="13.33203125" style="61" customWidth="1"/>
    <col min="14" max="14" width="21.5" style="61" bestFit="1" customWidth="1"/>
    <col min="15" max="16384" width="11.5" style="1"/>
  </cols>
  <sheetData>
    <row r="1" spans="2:14" x14ac:dyDescent="0.2">
      <c r="I1" s="65" t="s">
        <v>96</v>
      </c>
      <c r="J1" s="1"/>
      <c r="K1" s="83">
        <f ca="1">TODAY()</f>
        <v>44456</v>
      </c>
    </row>
    <row r="2" spans="2:14" x14ac:dyDescent="0.2">
      <c r="I2" s="65" t="s">
        <v>97</v>
      </c>
      <c r="J2" s="1"/>
      <c r="K2" s="84">
        <f ca="1">NETWORKDAYS(C5,K1,Feiertage!$B$3:$B$40)</f>
        <v>178</v>
      </c>
    </row>
    <row r="4" spans="2:14" s="63" customFormat="1" ht="34" x14ac:dyDescent="0.2">
      <c r="C4" s="67" t="s">
        <v>104</v>
      </c>
      <c r="D4" s="67" t="s">
        <v>105</v>
      </c>
      <c r="E4" s="67" t="s">
        <v>88</v>
      </c>
      <c r="F4" s="67" t="s">
        <v>90</v>
      </c>
      <c r="G4" s="67" t="s">
        <v>93</v>
      </c>
      <c r="H4" s="67" t="s">
        <v>94</v>
      </c>
      <c r="I4" s="60" t="s">
        <v>89</v>
      </c>
      <c r="J4" s="60" t="s">
        <v>99</v>
      </c>
      <c r="K4" s="60" t="s">
        <v>98</v>
      </c>
      <c r="L4" s="60" t="s">
        <v>65</v>
      </c>
      <c r="M4" s="60" t="s">
        <v>63</v>
      </c>
      <c r="N4" s="61"/>
    </row>
    <row r="5" spans="2:14" x14ac:dyDescent="0.15">
      <c r="B5" s="66" t="s">
        <v>37</v>
      </c>
      <c r="C5" s="68">
        <f>DATE(Basisdaten!$D$8,1,1)</f>
        <v>44197</v>
      </c>
      <c r="D5" s="68">
        <f>C6-1</f>
        <v>44227</v>
      </c>
      <c r="E5" s="69">
        <f>NETWORKDAYS(C5,D5,Feiertage!$B$3:$B$40)</f>
        <v>19</v>
      </c>
      <c r="F5" s="69">
        <f>E5*Basisdaten!$D$10</f>
        <v>152</v>
      </c>
      <c r="G5" s="70">
        <f>Abwesenheitstage!$D$5-COUNTIF(Abwesenheitstage!$B$8:$B$57,"&lt; " &amp; 'R Stundenkonto'!C5)-COUNTIF(Abwesenheitstage!$B$8:$B$57,"&gt; " &amp; 'R Stundenkonto'!D5)</f>
        <v>19</v>
      </c>
      <c r="H5" s="70">
        <f>G5*Basisdaten!$D$10</f>
        <v>152</v>
      </c>
      <c r="I5" s="71">
        <f>Zeiterfassung!$G$104-SUMIF(Tabelle1[Tag],"&lt; " &amp; 'R Stundenkonto'!C5,Tabelle1[Stunden])-SUMIF(Tabelle1[Tag],"&gt; " &amp; 'R Stundenkonto'!D5,Tabelle1[Stunden])</f>
        <v>0</v>
      </c>
      <c r="J5" s="72">
        <f ca="1">IF(D5&lt;$K$1,I5-F5+H5,
IF(C5&lt;$K$1,
I5-
K2*Basisdaten!$D$10
+H5,
0))</f>
        <v>0</v>
      </c>
      <c r="K5" s="81">
        <f ca="1">IF(D5&lt;$K$1,J5,0)</f>
        <v>0</v>
      </c>
      <c r="L5" s="73" cm="1">
        <f t="array" ref="L5">SUMPRODUCT(--(Abwesenheitstage!$B$8:$B$57 &gt; 0),--(Abwesenheitstage!$B$8:$B$57 &lt;  'R Stundenkonto'!$D5),--(Abwesenheitstage!$C$8:$C$57=L$4))</f>
        <v>0</v>
      </c>
      <c r="M5" s="73" cm="1">
        <f t="array" ref="M5">SUMPRODUCT(--(Abwesenheitstage!$B$8:$B$57 &gt; 0),--(Abwesenheitstage!$B$8:$B$57 &lt;  'R Stundenkonto'!$D5),--(Abwesenheitstage!$C$8:$C$57=M$4))</f>
        <v>19</v>
      </c>
      <c r="N5" s="77"/>
    </row>
    <row r="6" spans="2:14" x14ac:dyDescent="0.15">
      <c r="B6" s="66" t="s">
        <v>38</v>
      </c>
      <c r="C6" s="68">
        <f>DATE(Basisdaten!$D$8,2,1)</f>
        <v>44228</v>
      </c>
      <c r="D6" s="68">
        <f t="shared" ref="D6:D15" si="0">C7-1</f>
        <v>44255</v>
      </c>
      <c r="E6" s="69">
        <f>NETWORKDAYS(C6,D6,Feiertage!$B$3:$B$40)</f>
        <v>20</v>
      </c>
      <c r="F6" s="69">
        <f>E6*Basisdaten!$D$10</f>
        <v>160</v>
      </c>
      <c r="G6" s="70">
        <f>Abwesenheitstage!$D$5-COUNTIF(Abwesenheitstage!$B$8:$B$57,"&lt; " &amp; 'R Stundenkonto'!C6)-COUNTIF(Abwesenheitstage!$B$8:$B$57,"&gt; " &amp; 'R Stundenkonto'!D6)</f>
        <v>0</v>
      </c>
      <c r="H6" s="70">
        <f>G6*Basisdaten!$D$10</f>
        <v>0</v>
      </c>
      <c r="I6" s="71">
        <f>Zeiterfassung!$G$104-SUMIF(Tabelle1[Tag],"&lt; " &amp; 'R Stundenkonto'!C6,Tabelle1[Stunden])-SUMIF(Tabelle1[Tag],"&gt; " &amp; 'R Stundenkonto'!D6,Tabelle1[Stunden])</f>
        <v>34.25</v>
      </c>
      <c r="J6" s="72">
        <f ca="1">IF(D6&lt;$K$1,I6-F6+H6,
IF(C6&lt;$K$1,
I6-
(($K$2-SUM($E$5:E5))*Basisdaten!$D$10)
+H6,
0))</f>
        <v>-125.75</v>
      </c>
      <c r="K6" s="81">
        <f t="shared" ref="K6:K17" ca="1" si="1">IF(D5&lt;$K$1,K5+J6,0)</f>
        <v>-125.75</v>
      </c>
      <c r="L6" s="73" cm="1">
        <f t="array" ref="L6">SUMPRODUCT(--(Abwesenheitstage!$B$8:$B$57 &gt; 0),--(Abwesenheitstage!$B$8:$B$57 &lt;  'R Stundenkonto'!$D6),--(Abwesenheitstage!$C$8:$C$57=L$4))-
SUMPRODUCT(--(Abwesenheitstage!$B$8:$B$57 &gt; 0),--(Abwesenheitstage!$B$8:$B$57 &lt;  'R Stundenkonto'!$D5),--(Abwesenheitstage!$C$8:$C$57=L$4))</f>
        <v>0</v>
      </c>
      <c r="M6" s="73" cm="1">
        <f t="array" ref="M6">SUMPRODUCT(--(Abwesenheitstage!$B$8:$B$57 &gt; 0),--(Abwesenheitstage!$B$8:$B$57 &lt;  'R Stundenkonto'!$D6),--(Abwesenheitstage!$C$8:$C$57=M$4))-
SUMPRODUCT(--(Abwesenheitstage!$B$8:$B$57 &gt; 0),--(Abwesenheitstage!$B$8:$B$57 &lt;  'R Stundenkonto'!$D5),--(Abwesenheitstage!$C$8:$C$57=M$4))</f>
        <v>0</v>
      </c>
      <c r="N6" s="77"/>
    </row>
    <row r="7" spans="2:14" x14ac:dyDescent="0.15">
      <c r="B7" s="66" t="s">
        <v>39</v>
      </c>
      <c r="C7" s="68">
        <f>DATE(Basisdaten!$D$8,3,1)</f>
        <v>44256</v>
      </c>
      <c r="D7" s="68">
        <f t="shared" si="0"/>
        <v>44286</v>
      </c>
      <c r="E7" s="69">
        <f>NETWORKDAYS(C7,D7,Feiertage!$B$3:$B$40)</f>
        <v>22</v>
      </c>
      <c r="F7" s="69">
        <f>E7*Basisdaten!$D$10</f>
        <v>176</v>
      </c>
      <c r="G7" s="70">
        <f>Abwesenheitstage!$D$5-COUNTIF(Abwesenheitstage!$B$8:$B$57,"&lt; " &amp; 'R Stundenkonto'!C7)-COUNTIF(Abwesenheitstage!$B$8:$B$57,"&gt; " &amp; 'R Stundenkonto'!D7)</f>
        <v>0</v>
      </c>
      <c r="H7" s="70">
        <f>G7*Basisdaten!$D$10</f>
        <v>0</v>
      </c>
      <c r="I7" s="71">
        <f>Zeiterfassung!$G$104-SUMIF(Tabelle1[Tag],"&lt; " &amp; 'R Stundenkonto'!C7,Tabelle1[Stunden])-SUMIF(Tabelle1[Tag],"&gt; " &amp; 'R Stundenkonto'!D7,Tabelle1[Stunden])</f>
        <v>0</v>
      </c>
      <c r="J7" s="72">
        <f ca="1">IF(D7&lt;$K$1,I7-F7+H7,
IF(C7&lt;$K$1,
I7-
(($K$2-SUM($E$5:E6))*Basisdaten!$D$10)
+H7,
0))</f>
        <v>-176</v>
      </c>
      <c r="K7" s="81">
        <f t="shared" ca="1" si="1"/>
        <v>-301.75</v>
      </c>
      <c r="L7" s="73" cm="1">
        <f t="array" ref="L7">SUMPRODUCT(--(Abwesenheitstage!$B$8:$B$57 &gt; 0),--(Abwesenheitstage!$B$8:$B$57 &lt;  'R Stundenkonto'!$D7),--(Abwesenheitstage!$C$8:$C$57=L$4))-
SUMPRODUCT(--(Abwesenheitstage!$B$8:$B$57 &gt; 0),--(Abwesenheitstage!$B$8:$B$57 &lt;  'R Stundenkonto'!$D6),--(Abwesenheitstage!$C$8:$C$57=L$4))</f>
        <v>0</v>
      </c>
      <c r="M7" s="73" cm="1">
        <f t="array" ref="M7">SUMPRODUCT(--(Abwesenheitstage!$B$8:$B$57 &gt; 0),--(Abwesenheitstage!$B$8:$B$57 &lt;  'R Stundenkonto'!$D7),--(Abwesenheitstage!$C$8:$C$57=M$4))-
SUMPRODUCT(--(Abwesenheitstage!$B$8:$B$57 &gt; 0),--(Abwesenheitstage!$B$8:$B$57 &lt;  'R Stundenkonto'!$D6),--(Abwesenheitstage!$C$8:$C$57=M$4))</f>
        <v>0</v>
      </c>
      <c r="N7" s="77"/>
    </row>
    <row r="8" spans="2:14" x14ac:dyDescent="0.15">
      <c r="B8" s="66" t="s">
        <v>40</v>
      </c>
      <c r="C8" s="68">
        <f>DATE(Basisdaten!$D$8,4,1)</f>
        <v>44287</v>
      </c>
      <c r="D8" s="68">
        <f t="shared" si="0"/>
        <v>44316</v>
      </c>
      <c r="E8" s="69">
        <f>NETWORKDAYS(C8,D8,Feiertage!$B$3:$B$40)</f>
        <v>20</v>
      </c>
      <c r="F8" s="69">
        <f>E8*Basisdaten!$D$10</f>
        <v>160</v>
      </c>
      <c r="G8" s="70">
        <f>Abwesenheitstage!$D$5-COUNTIF(Abwesenheitstage!$B$8:$B$57,"&lt; " &amp; 'R Stundenkonto'!C8)-COUNTIF(Abwesenheitstage!$B$8:$B$57,"&gt; " &amp; 'R Stundenkonto'!D8)</f>
        <v>0</v>
      </c>
      <c r="H8" s="70">
        <f>G8*Basisdaten!$D$10</f>
        <v>0</v>
      </c>
      <c r="I8" s="71">
        <f>Zeiterfassung!$G$104-SUMIF(Tabelle1[Tag],"&lt; " &amp; 'R Stundenkonto'!C8,Tabelle1[Stunden])-SUMIF(Tabelle1[Tag],"&gt; " &amp; 'R Stundenkonto'!D8,Tabelle1[Stunden])</f>
        <v>0</v>
      </c>
      <c r="J8" s="72">
        <f ca="1">IF(D8&lt;$K$1,I8-F8+H8,
IF(C8&lt;$K$1,
I8-
(($K$2-SUM($E$5:E7))*Basisdaten!$D$10)
+H8,
0))</f>
        <v>-160</v>
      </c>
      <c r="K8" s="81">
        <f t="shared" ca="1" si="1"/>
        <v>-461.75</v>
      </c>
      <c r="L8" s="73" cm="1">
        <f t="array" ref="L8">SUMPRODUCT(--(Abwesenheitstage!$B$8:$B$57 &gt; 0),--(Abwesenheitstage!$B$8:$B$57 &lt;  'R Stundenkonto'!$D8),--(Abwesenheitstage!$C$8:$C$57=L$4))-
SUMPRODUCT(--(Abwesenheitstage!$B$8:$B$57 &gt; 0),--(Abwesenheitstage!$B$8:$B$57 &lt;  'R Stundenkonto'!$D7),--(Abwesenheitstage!$C$8:$C$57=L$4))</f>
        <v>0</v>
      </c>
      <c r="M8" s="73" cm="1">
        <f t="array" ref="M8">SUMPRODUCT(--(Abwesenheitstage!$B$8:$B$57 &gt; 0),--(Abwesenheitstage!$B$8:$B$57 &lt;  'R Stundenkonto'!$D8),--(Abwesenheitstage!$C$8:$C$57=M$4))-
SUMPRODUCT(--(Abwesenheitstage!$B$8:$B$57 &gt; 0),--(Abwesenheitstage!$B$8:$B$57 &lt;  'R Stundenkonto'!$D7),--(Abwesenheitstage!$C$8:$C$57=M$4))</f>
        <v>0</v>
      </c>
      <c r="N8" s="77"/>
    </row>
    <row r="9" spans="2:14" x14ac:dyDescent="0.15">
      <c r="B9" s="66" t="s">
        <v>41</v>
      </c>
      <c r="C9" s="68">
        <f>DATE(Basisdaten!$D$8,5,1)</f>
        <v>44317</v>
      </c>
      <c r="D9" s="68">
        <f t="shared" si="0"/>
        <v>44347</v>
      </c>
      <c r="E9" s="69">
        <f>NETWORKDAYS(C9,D9,Feiertage!$B$3:$B$40)</f>
        <v>19</v>
      </c>
      <c r="F9" s="69">
        <f>E9*Basisdaten!$D$10</f>
        <v>152</v>
      </c>
      <c r="G9" s="70">
        <f>Abwesenheitstage!$D$5-COUNTIF(Abwesenheitstage!$B$8:$B$57,"&lt; " &amp; 'R Stundenkonto'!C9)-COUNTIF(Abwesenheitstage!$B$8:$B$57,"&gt; " &amp; 'R Stundenkonto'!D9)</f>
        <v>0</v>
      </c>
      <c r="H9" s="70">
        <f>G9*Basisdaten!$D$10</f>
        <v>0</v>
      </c>
      <c r="I9" s="71">
        <f>Zeiterfassung!$G$104-SUMIF(Tabelle1[Tag],"&lt; " &amp; 'R Stundenkonto'!C9,Tabelle1[Stunden])-SUMIF(Tabelle1[Tag],"&gt; " &amp; 'R Stundenkonto'!D9,Tabelle1[Stunden])</f>
        <v>0</v>
      </c>
      <c r="J9" s="72">
        <f ca="1">IF(D9&lt;$K$1,I9-F9+H9,
IF(C9&lt;$K$1,
I9-
(($K$2-SUM($E$5:E8))*Basisdaten!$D$10)
+H9,
0))</f>
        <v>-152</v>
      </c>
      <c r="K9" s="81">
        <f t="shared" ca="1" si="1"/>
        <v>-613.75</v>
      </c>
      <c r="L9" s="73" cm="1">
        <f t="array" ref="L9">SUMPRODUCT(--(Abwesenheitstage!$B$8:$B$57 &gt; 0),--(Abwesenheitstage!$B$8:$B$57 &lt;  'R Stundenkonto'!$D9),--(Abwesenheitstage!$C$8:$C$57=L$4))-
SUMPRODUCT(--(Abwesenheitstage!$B$8:$B$57 &gt; 0),--(Abwesenheitstage!$B$8:$B$57 &lt;  'R Stundenkonto'!$D8),--(Abwesenheitstage!$C$8:$C$57=L$4))</f>
        <v>0</v>
      </c>
      <c r="M9" s="73" cm="1">
        <f t="array" ref="M9">SUMPRODUCT(--(Abwesenheitstage!$B$8:$B$57 &gt; 0),--(Abwesenheitstage!$B$8:$B$57 &lt;  'R Stundenkonto'!$D9),--(Abwesenheitstage!$C$8:$C$57=M$4))-
SUMPRODUCT(--(Abwesenheitstage!$B$8:$B$57 &gt; 0),--(Abwesenheitstage!$B$8:$B$57 &lt;  'R Stundenkonto'!$D8),--(Abwesenheitstage!$C$8:$C$57=M$4))</f>
        <v>0</v>
      </c>
      <c r="N9" s="77"/>
    </row>
    <row r="10" spans="2:14" x14ac:dyDescent="0.15">
      <c r="B10" s="66" t="s">
        <v>42</v>
      </c>
      <c r="C10" s="68">
        <f>DATE(Basisdaten!$D$8,6,1)</f>
        <v>44348</v>
      </c>
      <c r="D10" s="68">
        <f t="shared" si="0"/>
        <v>44377</v>
      </c>
      <c r="E10" s="69">
        <f>NETWORKDAYS(C10,D10,Feiertage!$B$3:$B$40)</f>
        <v>21</v>
      </c>
      <c r="F10" s="69">
        <f>E10*Basisdaten!$D$10</f>
        <v>168</v>
      </c>
      <c r="G10" s="70">
        <f>Abwesenheitstage!$D$5-COUNTIF(Abwesenheitstage!$B$8:$B$57,"&lt; " &amp; 'R Stundenkonto'!C10)-COUNTIF(Abwesenheitstage!$B$8:$B$57,"&gt; " &amp; 'R Stundenkonto'!D10)</f>
        <v>1</v>
      </c>
      <c r="H10" s="70">
        <f>G10*Basisdaten!$D$10</f>
        <v>8</v>
      </c>
      <c r="I10" s="71">
        <f>Zeiterfassung!$G$104-SUMIF(Tabelle1[Tag],"&lt; " &amp; 'R Stundenkonto'!C10,Tabelle1[Stunden])-SUMIF(Tabelle1[Tag],"&gt; " &amp; 'R Stundenkonto'!D10,Tabelle1[Stunden])</f>
        <v>0</v>
      </c>
      <c r="J10" s="72">
        <f ca="1">IF(D10&lt;$K$1,I10-F10+H10,
IF(C10&lt;$K$1,
I10-
(($K$2-SUM($E$5:E9))*Basisdaten!$D$10)
+H10,
0))</f>
        <v>-160</v>
      </c>
      <c r="K10" s="81">
        <f t="shared" ca="1" si="1"/>
        <v>-773.75</v>
      </c>
      <c r="L10" s="73" cm="1">
        <f t="array" ref="L10">SUMPRODUCT(--(Abwesenheitstage!$B$8:$B$57 &gt; 0),--(Abwesenheitstage!$B$8:$B$57 &lt;  'R Stundenkonto'!$D10),--(Abwesenheitstage!$C$8:$C$57=L$4))-
SUMPRODUCT(--(Abwesenheitstage!$B$8:$B$57 &gt; 0),--(Abwesenheitstage!$B$8:$B$57 &lt;  'R Stundenkonto'!$D9),--(Abwesenheitstage!$C$8:$C$57=L$4))</f>
        <v>0</v>
      </c>
      <c r="M10" s="73" cm="1">
        <f t="array" ref="M10">SUMPRODUCT(--(Abwesenheitstage!$B$8:$B$57 &gt; 0),--(Abwesenheitstage!$B$8:$B$57 &lt;  'R Stundenkonto'!$D10),--(Abwesenheitstage!$C$8:$C$57=M$4))-
SUMPRODUCT(--(Abwesenheitstage!$B$8:$B$57 &gt; 0),--(Abwesenheitstage!$B$8:$B$57 &lt;  'R Stundenkonto'!$D9),--(Abwesenheitstage!$C$8:$C$57=M$4))</f>
        <v>0</v>
      </c>
      <c r="N10" s="77"/>
    </row>
    <row r="11" spans="2:14" x14ac:dyDescent="0.15">
      <c r="B11" s="66" t="s">
        <v>43</v>
      </c>
      <c r="C11" s="68">
        <f>DATE(Basisdaten!$D$8,7,1)</f>
        <v>44378</v>
      </c>
      <c r="D11" s="68">
        <f t="shared" si="0"/>
        <v>44408</v>
      </c>
      <c r="E11" s="69">
        <f>NETWORKDAYS(C11,D11,Feiertage!$B$3:$B$40)</f>
        <v>22</v>
      </c>
      <c r="F11" s="69">
        <f>E11*Basisdaten!$D$10</f>
        <v>176</v>
      </c>
      <c r="G11" s="70">
        <f>Abwesenheitstage!$D$5-COUNTIF(Abwesenheitstage!$B$8:$B$57,"&lt; " &amp; 'R Stundenkonto'!C11)-COUNTIF(Abwesenheitstage!$B$8:$B$57,"&gt; " &amp; 'R Stundenkonto'!D11)</f>
        <v>18</v>
      </c>
      <c r="H11" s="70">
        <f>G11*Basisdaten!$D$10</f>
        <v>144</v>
      </c>
      <c r="I11" s="71">
        <f>Zeiterfassung!$G$104-SUMIF(Tabelle1[Tag],"&lt; " &amp; 'R Stundenkonto'!C11,Tabelle1[Stunden])-SUMIF(Tabelle1[Tag],"&gt; " &amp; 'R Stundenkonto'!D11,Tabelle1[Stunden])</f>
        <v>37.25</v>
      </c>
      <c r="J11" s="72">
        <f ca="1">IF(D11&lt;$K$1,I11-F11+H11,
IF(C11&lt;$K$1,
I11-
(($K$2-SUM($E$5:E10))*Basisdaten!$D$10)
+H11,
0))</f>
        <v>5.25</v>
      </c>
      <c r="K11" s="81">
        <f t="shared" ca="1" si="1"/>
        <v>-768.5</v>
      </c>
      <c r="L11" s="73" cm="1">
        <f t="array" ref="L11">SUMPRODUCT(--(Abwesenheitstage!$B$8:$B$57 &gt; 0),--(Abwesenheitstage!$B$8:$B$57 &lt;  'R Stundenkonto'!$D11),--(Abwesenheitstage!$C$8:$C$57=L$4))-
SUMPRODUCT(--(Abwesenheitstage!$B$8:$B$57 &gt; 0),--(Abwesenheitstage!$B$8:$B$57 &lt;  'R Stundenkonto'!$D10),--(Abwesenheitstage!$C$8:$C$57=L$4))</f>
        <v>14</v>
      </c>
      <c r="M11" s="73" cm="1">
        <f t="array" ref="M11">SUMPRODUCT(--(Abwesenheitstage!$B$8:$B$57 &gt; 0),--(Abwesenheitstage!$B$8:$B$57 &lt;  'R Stundenkonto'!$D11),--(Abwesenheitstage!$C$8:$C$57=M$4))-
SUMPRODUCT(--(Abwesenheitstage!$B$8:$B$57 &gt; 0),--(Abwesenheitstage!$B$8:$B$57 &lt;  'R Stundenkonto'!$D10),--(Abwesenheitstage!$C$8:$C$57=M$4))</f>
        <v>5</v>
      </c>
      <c r="N11" s="77"/>
    </row>
    <row r="12" spans="2:14" x14ac:dyDescent="0.15">
      <c r="B12" s="66" t="s">
        <v>44</v>
      </c>
      <c r="C12" s="68">
        <f>DATE(Basisdaten!$D$8,8,1)</f>
        <v>44409</v>
      </c>
      <c r="D12" s="68">
        <f t="shared" si="0"/>
        <v>44439</v>
      </c>
      <c r="E12" s="69">
        <f>NETWORKDAYS(C12,D12,Feiertage!$B$3:$B$40)</f>
        <v>22</v>
      </c>
      <c r="F12" s="69">
        <f>E12*Basisdaten!$D$10</f>
        <v>176</v>
      </c>
      <c r="G12" s="70">
        <f>Abwesenheitstage!$D$5-COUNTIF(Abwesenheitstage!$B$8:$B$57,"&lt; " &amp; 'R Stundenkonto'!C12)-COUNTIF(Abwesenheitstage!$B$8:$B$57,"&gt; " &amp; 'R Stundenkonto'!D12)</f>
        <v>0</v>
      </c>
      <c r="H12" s="70">
        <f>G12*Basisdaten!$D$10</f>
        <v>0</v>
      </c>
      <c r="I12" s="71">
        <f>Zeiterfassung!$G$104-SUMIF(Tabelle1[Tag],"&lt; " &amp; 'R Stundenkonto'!C12,Tabelle1[Stunden])-SUMIF(Tabelle1[Tag],"&gt; " &amp; 'R Stundenkonto'!D12,Tabelle1[Stunden])</f>
        <v>0</v>
      </c>
      <c r="J12" s="72">
        <f ca="1">IF(D12&lt;$K$1,I12-F12+H12,
IF(C12&lt;$K$1,
I12-
(($K$2-SUM($E$5:E11))*Basisdaten!$D$10)
+H12,
0))</f>
        <v>-176</v>
      </c>
      <c r="K12" s="81">
        <f t="shared" ca="1" si="1"/>
        <v>-944.5</v>
      </c>
      <c r="L12" s="73" cm="1">
        <f t="array" ref="L12">SUMPRODUCT(--(Abwesenheitstage!$B$8:$B$57 &gt; 0),--(Abwesenheitstage!$B$8:$B$57 &lt;  'R Stundenkonto'!$D12),--(Abwesenheitstage!$C$8:$C$57=L$4))-
SUMPRODUCT(--(Abwesenheitstage!$B$8:$B$57 &gt; 0),--(Abwesenheitstage!$B$8:$B$57 &lt;  'R Stundenkonto'!$D11),--(Abwesenheitstage!$C$8:$C$57=L$4))</f>
        <v>0</v>
      </c>
      <c r="M12" s="73" cm="1">
        <f t="array" ref="M12">SUMPRODUCT(--(Abwesenheitstage!$B$8:$B$57 &gt; 0),--(Abwesenheitstage!$B$8:$B$57 &lt;  'R Stundenkonto'!$D12),--(Abwesenheitstage!$C$8:$C$57=M$4))-
SUMPRODUCT(--(Abwesenheitstage!$B$8:$B$57 &gt; 0),--(Abwesenheitstage!$B$8:$B$57 &lt;  'R Stundenkonto'!$D11),--(Abwesenheitstage!$C$8:$C$57=M$4))</f>
        <v>0</v>
      </c>
      <c r="N12" s="77"/>
    </row>
    <row r="13" spans="2:14" x14ac:dyDescent="0.15">
      <c r="B13" s="66" t="s">
        <v>45</v>
      </c>
      <c r="C13" s="68">
        <f>DATE(Basisdaten!$D$8,9,1)</f>
        <v>44440</v>
      </c>
      <c r="D13" s="68">
        <f t="shared" si="0"/>
        <v>44469</v>
      </c>
      <c r="E13" s="69">
        <f>NETWORKDAYS(C13,D13,Feiertage!$B$3:$B$40)</f>
        <v>21</v>
      </c>
      <c r="F13" s="69">
        <f>E13*Basisdaten!$D$10</f>
        <v>168</v>
      </c>
      <c r="G13" s="70">
        <f>Abwesenheitstage!$D$5-COUNTIF(Abwesenheitstage!$B$8:$B$57,"&lt; " &amp; 'R Stundenkonto'!C13)-COUNTIF(Abwesenheitstage!$B$8:$B$57,"&gt; " &amp; 'R Stundenkonto'!D13)</f>
        <v>1</v>
      </c>
      <c r="H13" s="70">
        <f>G13*Basisdaten!$D$10</f>
        <v>8</v>
      </c>
      <c r="I13" s="71">
        <f>Zeiterfassung!$G$104-SUMIF(Tabelle1[Tag],"&lt; " &amp; 'R Stundenkonto'!C13,Tabelle1[Stunden])-SUMIF(Tabelle1[Tag],"&gt; " &amp; 'R Stundenkonto'!D13,Tabelle1[Stunden])</f>
        <v>3.5</v>
      </c>
      <c r="J13" s="72">
        <f ca="1">IF(D13&lt;$K$1,I13-F13+H13,
IF(C13&lt;$K$1,
I13-
(($K$2-SUM($E$5:E12))*Basisdaten!$D$10)
+H13,
0))</f>
        <v>-92.5</v>
      </c>
      <c r="K13" s="81">
        <f t="shared" ca="1" si="1"/>
        <v>-1037</v>
      </c>
      <c r="L13" s="73" cm="1">
        <f t="array" ref="L13">SUMPRODUCT(--(Abwesenheitstage!$B$8:$B$57 &gt; 0),--(Abwesenheitstage!$B$8:$B$57 &lt;  'R Stundenkonto'!$D13),--(Abwesenheitstage!$C$8:$C$57=L$4))-
SUMPRODUCT(--(Abwesenheitstage!$B$8:$B$57 &gt; 0),--(Abwesenheitstage!$B$8:$B$57 &lt;  'R Stundenkonto'!$D12),--(Abwesenheitstage!$C$8:$C$57=L$4))</f>
        <v>0</v>
      </c>
      <c r="M13" s="73" cm="1">
        <f t="array" ref="M13">SUMPRODUCT(--(Abwesenheitstage!$B$8:$B$57 &gt; 0),--(Abwesenheitstage!$B$8:$B$57 &lt;  'R Stundenkonto'!$D13),--(Abwesenheitstage!$C$8:$C$57=M$4))-
SUMPRODUCT(--(Abwesenheitstage!$B$8:$B$57 &gt; 0),--(Abwesenheitstage!$B$8:$B$57 &lt;  'R Stundenkonto'!$D12),--(Abwesenheitstage!$C$8:$C$57=M$4))</f>
        <v>1</v>
      </c>
      <c r="N13" s="77"/>
    </row>
    <row r="14" spans="2:14" x14ac:dyDescent="0.15">
      <c r="B14" s="66" t="s">
        <v>46</v>
      </c>
      <c r="C14" s="68">
        <f>DATE(Basisdaten!$D$8,10,1)</f>
        <v>44470</v>
      </c>
      <c r="D14" s="68">
        <f t="shared" si="0"/>
        <v>44500</v>
      </c>
      <c r="E14" s="69">
        <f>NETWORKDAYS(C14,D14,Feiertage!$B$3:$B$40)</f>
        <v>21</v>
      </c>
      <c r="F14" s="69">
        <f>E14*Basisdaten!$D$10</f>
        <v>168</v>
      </c>
      <c r="G14" s="70">
        <f>Abwesenheitstage!$D$5-COUNTIF(Abwesenheitstage!$B$8:$B$57,"&lt; " &amp; 'R Stundenkonto'!C14)-COUNTIF(Abwesenheitstage!$B$8:$B$57,"&gt; " &amp; 'R Stundenkonto'!D14)</f>
        <v>0</v>
      </c>
      <c r="H14" s="70">
        <f>G14*Basisdaten!$D$10</f>
        <v>0</v>
      </c>
      <c r="I14" s="71">
        <f>Zeiterfassung!$G$104-SUMIF(Tabelle1[Tag],"&lt; " &amp; 'R Stundenkonto'!C14,Tabelle1[Stunden])-SUMIF(Tabelle1[Tag],"&gt; " &amp; 'R Stundenkonto'!D14,Tabelle1[Stunden])</f>
        <v>0</v>
      </c>
      <c r="J14" s="72">
        <f ca="1">IF(D14&lt;$K$1,I14-F14+H14,
IF(C14&lt;$K$1,
I14-
(($K$2-SUM($E$5:E13))*Basisdaten!$D$10)
+H14,
0))</f>
        <v>0</v>
      </c>
      <c r="K14" s="81">
        <f t="shared" ca="1" si="1"/>
        <v>0</v>
      </c>
      <c r="L14" s="73" cm="1">
        <f t="array" ref="L14">SUMPRODUCT(--(Abwesenheitstage!$B$8:$B$57 &gt; 0),--(Abwesenheitstage!$B$8:$B$57 &lt;  'R Stundenkonto'!$D14),--(Abwesenheitstage!$C$8:$C$57=L$4))-
SUMPRODUCT(--(Abwesenheitstage!$B$8:$B$57 &gt; 0),--(Abwesenheitstage!$B$8:$B$57 &lt;  'R Stundenkonto'!$D13),--(Abwesenheitstage!$C$8:$C$57=L$4))</f>
        <v>0</v>
      </c>
      <c r="M14" s="73" cm="1">
        <f t="array" ref="M14">SUMPRODUCT(--(Abwesenheitstage!$B$8:$B$57 &gt; 0),--(Abwesenheitstage!$B$8:$B$57 &lt;  'R Stundenkonto'!$D14),--(Abwesenheitstage!$C$8:$C$57=M$4))-
SUMPRODUCT(--(Abwesenheitstage!$B$8:$B$57 &gt; 0),--(Abwesenheitstage!$B$8:$B$57 &lt;  'R Stundenkonto'!$D13),--(Abwesenheitstage!$C$8:$C$57=M$4))</f>
        <v>0</v>
      </c>
      <c r="N14" s="77"/>
    </row>
    <row r="15" spans="2:14" x14ac:dyDescent="0.15">
      <c r="B15" s="66" t="s">
        <v>47</v>
      </c>
      <c r="C15" s="68">
        <f>DATE(Basisdaten!$D$8,11,1)</f>
        <v>44501</v>
      </c>
      <c r="D15" s="68">
        <f t="shared" si="0"/>
        <v>44530</v>
      </c>
      <c r="E15" s="69">
        <f>NETWORKDAYS(C15,D15,Feiertage!$B$3:$B$40)</f>
        <v>20</v>
      </c>
      <c r="F15" s="69">
        <f>E15*Basisdaten!$D$10</f>
        <v>160</v>
      </c>
      <c r="G15" s="70">
        <f>Abwesenheitstage!$D$5-COUNTIF(Abwesenheitstage!$B$8:$B$57,"&lt; " &amp; 'R Stundenkonto'!C15)-COUNTIF(Abwesenheitstage!$B$8:$B$57,"&gt; " &amp; 'R Stundenkonto'!D15)</f>
        <v>0</v>
      </c>
      <c r="H15" s="70">
        <f>G15*Basisdaten!$D$10</f>
        <v>0</v>
      </c>
      <c r="I15" s="71">
        <f>Zeiterfassung!$G$104-SUMIF(Tabelle1[Tag],"&lt; " &amp; 'R Stundenkonto'!C15,Tabelle1[Stunden])-SUMIF(Tabelle1[Tag],"&gt; " &amp; 'R Stundenkonto'!D15,Tabelle1[Stunden])</f>
        <v>0</v>
      </c>
      <c r="J15" s="72">
        <f ca="1">IF(D15&lt;$K$1,I15-F15+H15,
IF(C15&lt;$K$1,
I15-
(($K$2-SUM($E$5:E14))*Basisdaten!$D$10)
+H15,
0))</f>
        <v>0</v>
      </c>
      <c r="K15" s="81">
        <f t="shared" ca="1" si="1"/>
        <v>0</v>
      </c>
      <c r="L15" s="73" cm="1">
        <f t="array" ref="L15">SUMPRODUCT(--(Abwesenheitstage!$B$8:$B$57 &gt; 0),--(Abwesenheitstage!$B$8:$B$57 &lt;  'R Stundenkonto'!$D15),--(Abwesenheitstage!$C$8:$C$57=L$4))-
SUMPRODUCT(--(Abwesenheitstage!$B$8:$B$57 &gt; 0),--(Abwesenheitstage!$B$8:$B$57 &lt;  'R Stundenkonto'!$D14),--(Abwesenheitstage!$C$8:$C$57=L$4))</f>
        <v>0</v>
      </c>
      <c r="M15" s="73" cm="1">
        <f t="array" ref="M15">SUMPRODUCT(--(Abwesenheitstage!$B$8:$B$57 &gt; 0),--(Abwesenheitstage!$B$8:$B$57 &lt;  'R Stundenkonto'!$D15),--(Abwesenheitstage!$C$8:$C$57=M$4))-
SUMPRODUCT(--(Abwesenheitstage!$B$8:$B$57 &gt; 0),--(Abwesenheitstage!$B$8:$B$57 &lt;  'R Stundenkonto'!$D14),--(Abwesenheitstage!$C$8:$C$57=M$4))</f>
        <v>0</v>
      </c>
      <c r="N15" s="77"/>
    </row>
    <row r="16" spans="2:14" x14ac:dyDescent="0.15">
      <c r="B16" s="66" t="s">
        <v>48</v>
      </c>
      <c r="C16" s="68">
        <f>DATE(Basisdaten!$D$8,12,1)</f>
        <v>44531</v>
      </c>
      <c r="D16" s="68">
        <f>DATE(Basisdaten!$D$8+1,1,1)-1</f>
        <v>44561</v>
      </c>
      <c r="E16" s="69">
        <f>NETWORKDAYS(C16,D16,Feiertage!$B$3:$B$40)</f>
        <v>23</v>
      </c>
      <c r="F16" s="69">
        <f>E16*Basisdaten!$D$10</f>
        <v>184</v>
      </c>
      <c r="G16" s="70">
        <f>Abwesenheitstage!$D$5-COUNTIF(Abwesenheitstage!$B$8:$B$57,"&lt; " &amp; 'R Stundenkonto'!C16)-COUNTIF(Abwesenheitstage!$B$8:$B$57,"&gt; " &amp; 'R Stundenkonto'!D16)</f>
        <v>0</v>
      </c>
      <c r="H16" s="70">
        <f>G16*Basisdaten!$D$10</f>
        <v>0</v>
      </c>
      <c r="I16" s="71">
        <f>Zeiterfassung!$G$104-SUMIF(Tabelle1[Tag],"&lt; " &amp; 'R Stundenkonto'!C16,Tabelle1[Stunden])-SUMIF(Tabelle1[Tag],"&gt; " &amp; 'R Stundenkonto'!D16,Tabelle1[Stunden])</f>
        <v>0</v>
      </c>
      <c r="J16" s="72">
        <f ca="1">IF(D16&lt;$K$1,I16-F16+H16,
IF(C16&lt;$K$1,
I16-
(($K$2-SUM($E$5:E15))*Basisdaten!$D$10)
+H16,
0))</f>
        <v>0</v>
      </c>
      <c r="K16" s="81">
        <f t="shared" ca="1" si="1"/>
        <v>0</v>
      </c>
      <c r="L16" s="73" cm="1">
        <f t="array" ref="L16">SUMPRODUCT(--(Abwesenheitstage!$B$8:$B$57 &gt; 0),--(Abwesenheitstage!$B$8:$B$57 &lt;  'R Stundenkonto'!$D16),--(Abwesenheitstage!$C$8:$C$57=L$4))-
SUMPRODUCT(--(Abwesenheitstage!$B$8:$B$57 &gt; 0),--(Abwesenheitstage!$B$8:$B$57 &lt;  'R Stundenkonto'!$D15),--(Abwesenheitstage!$C$8:$C$57=L$4))</f>
        <v>0</v>
      </c>
      <c r="M16" s="73" cm="1">
        <f t="array" ref="M16">SUMPRODUCT(--(Abwesenheitstage!$B$8:$B$57 &gt; 0),--(Abwesenheitstage!$B$8:$B$57 &lt;  'R Stundenkonto'!$D16),--(Abwesenheitstage!$C$8:$C$57=M$4))-
SUMPRODUCT(--(Abwesenheitstage!$B$8:$B$57 &gt; 0),--(Abwesenheitstage!$B$8:$B$57 &lt;  'R Stundenkonto'!$D15),--(Abwesenheitstage!$C$8:$C$57=M$4))</f>
        <v>0</v>
      </c>
      <c r="N16" s="77"/>
    </row>
    <row r="17" spans="2:14" ht="7.25" customHeight="1" x14ac:dyDescent="0.2">
      <c r="C17" s="68"/>
      <c r="D17" s="69"/>
      <c r="E17" s="69"/>
      <c r="F17" s="69"/>
      <c r="G17" s="70"/>
      <c r="H17" s="70"/>
      <c r="I17" s="71"/>
      <c r="J17" s="71"/>
      <c r="K17" s="72">
        <f t="shared" ca="1" si="1"/>
        <v>0</v>
      </c>
      <c r="L17" s="74"/>
      <c r="M17" s="74"/>
      <c r="N17" s="77"/>
    </row>
    <row r="18" spans="2:14" x14ac:dyDescent="0.2">
      <c r="B18" s="75" t="s">
        <v>87</v>
      </c>
      <c r="C18" s="79"/>
      <c r="D18" s="79"/>
      <c r="E18" s="79">
        <f>SUM(E5:E16)</f>
        <v>250</v>
      </c>
      <c r="F18" s="79">
        <f>SUM(F5:F16)</f>
        <v>2000</v>
      </c>
      <c r="G18" s="79">
        <f>SUM(G5:G16)</f>
        <v>39</v>
      </c>
      <c r="H18" s="79">
        <f>SUM(H5:H16)</f>
        <v>312</v>
      </c>
      <c r="I18" s="80">
        <f>SUM(I5:I16)</f>
        <v>75</v>
      </c>
      <c r="J18" s="78">
        <f ca="1">SUM(J5:J17)</f>
        <v>-1037</v>
      </c>
      <c r="K18" s="78"/>
      <c r="L18" s="78">
        <f>SUM(L5:L17)</f>
        <v>14</v>
      </c>
      <c r="M18" s="78">
        <f>SUM(M5:M17)</f>
        <v>25</v>
      </c>
      <c r="N18" s="76" t="str">
        <f>"… "&amp;Basisdaten!$D$9-M18&amp;" Tage Resturlaub"</f>
        <v>… 5 Tage Resturlaub</v>
      </c>
    </row>
  </sheetData>
  <phoneticPr fontId="4" type="noConversion"/>
  <pageMargins left="0.70866141732283472" right="0.70866141732283472" top="0.78740157480314965" bottom="0.78740157480314965" header="0.31496062992125984" footer="0.31496062992125984"/>
  <pageSetup paperSize="9" scale="6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3BC6-A4B0-46D8-A1F8-671F3CA68A66}">
  <dimension ref="A2:N12"/>
  <sheetViews>
    <sheetView showGridLines="0" zoomScale="70" zoomScaleNormal="70" workbookViewId="0">
      <selection activeCell="P25" sqref="P25"/>
    </sheetView>
  </sheetViews>
  <sheetFormatPr baseColWidth="10" defaultColWidth="11.5" defaultRowHeight="14" x14ac:dyDescent="0.2"/>
  <cols>
    <col min="1" max="16384" width="11.5" style="42"/>
  </cols>
  <sheetData>
    <row r="2" spans="1:14" x14ac:dyDescent="0.2">
      <c r="B2" s="57">
        <v>1</v>
      </c>
      <c r="C2" s="57">
        <v>2</v>
      </c>
      <c r="D2" s="57">
        <v>3</v>
      </c>
      <c r="E2" s="57">
        <v>4</v>
      </c>
      <c r="F2" s="57">
        <v>5</v>
      </c>
      <c r="G2" s="57">
        <v>6</v>
      </c>
      <c r="H2" s="57">
        <v>7</v>
      </c>
      <c r="I2" s="57">
        <v>8</v>
      </c>
      <c r="J2" s="57">
        <v>9</v>
      </c>
      <c r="K2" s="57">
        <v>10</v>
      </c>
      <c r="L2" s="57">
        <v>11</v>
      </c>
      <c r="M2" s="57">
        <v>12</v>
      </c>
    </row>
    <row r="3" spans="1:14" s="27" customFormat="1" ht="17.5" customHeight="1" x14ac:dyDescent="0.2">
      <c r="A3" s="29" t="str">
        <f>Basisdaten!B18</f>
        <v>Projekt</v>
      </c>
      <c r="B3" s="30" t="s">
        <v>37</v>
      </c>
      <c r="C3" s="30" t="s">
        <v>38</v>
      </c>
      <c r="D3" s="30" t="s">
        <v>39</v>
      </c>
      <c r="E3" s="30" t="s">
        <v>40</v>
      </c>
      <c r="F3" s="30" t="s">
        <v>41</v>
      </c>
      <c r="G3" s="30" t="s">
        <v>42</v>
      </c>
      <c r="H3" s="30" t="s">
        <v>43</v>
      </c>
      <c r="I3" s="30" t="s">
        <v>44</v>
      </c>
      <c r="J3" s="30" t="s">
        <v>45</v>
      </c>
      <c r="K3" s="30" t="s">
        <v>46</v>
      </c>
      <c r="L3" s="30" t="s">
        <v>47</v>
      </c>
      <c r="M3" s="30" t="s">
        <v>48</v>
      </c>
      <c r="N3" s="29" t="s">
        <v>49</v>
      </c>
    </row>
    <row r="4" spans="1:14" ht="18" customHeight="1" x14ac:dyDescent="0.2">
      <c r="A4" s="31" t="str">
        <f ca="1">OFFSET(Basisdaten!B18,1,0)</f>
        <v>Internes</v>
      </c>
      <c r="B4" s="85">
        <f ca="1">SUMIFS(Zeiterfassung!$G$8:$G$103,Zeiterfassung!$P$8:$P$103,B$2,Zeiterfassung!$J$8:$J$103,'R Std.Monat'!$A4)</f>
        <v>0</v>
      </c>
      <c r="C4" s="85">
        <f ca="1">SUMIFS(Zeiterfassung!$G$8:$G$103,Zeiterfassung!$P$8:$P$103,C$2,Zeiterfassung!$J$8:$J$103,'R Std.Monat'!$A4)</f>
        <v>0</v>
      </c>
      <c r="D4" s="85">
        <f ca="1">SUMIFS(Zeiterfassung!$G$8:$G$103,Zeiterfassung!$P$8:$P$103,D$2,Zeiterfassung!$J$8:$J$103,'R Std.Monat'!$A4)</f>
        <v>0</v>
      </c>
      <c r="E4" s="85">
        <f ca="1">SUMIFS(Zeiterfassung!$G$8:$G$103,Zeiterfassung!$P$8:$P$103,E$2,Zeiterfassung!$J$8:$J$103,'R Std.Monat'!$A4)</f>
        <v>0</v>
      </c>
      <c r="F4" s="85">
        <f ca="1">SUMIFS(Zeiterfassung!$G$8:$G$103,Zeiterfassung!$P$8:$P$103,F$2,Zeiterfassung!$J$8:$J$103,'R Std.Monat'!$A4)</f>
        <v>0</v>
      </c>
      <c r="G4" s="85">
        <f ca="1">SUMIFS(Zeiterfassung!$G$8:$G$103,Zeiterfassung!$P$8:$P$103,G$2,Zeiterfassung!$J$8:$J$103,'R Std.Monat'!$A4)</f>
        <v>0</v>
      </c>
      <c r="H4" s="85">
        <f ca="1">SUMIFS(Zeiterfassung!$G$8:$G$103,Zeiterfassung!$P$8:$P$103,H$2,Zeiterfassung!$J$8:$J$103,'R Std.Monat'!$A4)</f>
        <v>3</v>
      </c>
      <c r="I4" s="85">
        <f ca="1">SUMIFS(Zeiterfassung!$G$8:$G$103,Zeiterfassung!$P$8:$P$103,I$2,Zeiterfassung!$J$8:$J$103,'R Std.Monat'!$A4)</f>
        <v>0</v>
      </c>
      <c r="J4" s="85">
        <f ca="1">SUMIFS(Zeiterfassung!$G$8:$G$103,Zeiterfassung!$P$8:$P$103,J$2,Zeiterfassung!$J$8:$J$103,'R Std.Monat'!$A4)</f>
        <v>0</v>
      </c>
      <c r="K4" s="85">
        <f ca="1">SUMIFS(Zeiterfassung!$G$8:$G$103,Zeiterfassung!$P$8:$P$103,K$2,Zeiterfassung!$J$8:$J$103,'R Std.Monat'!$A4)</f>
        <v>0</v>
      </c>
      <c r="L4" s="85">
        <f ca="1">SUMIFS(Zeiterfassung!$G$8:$G$103,Zeiterfassung!$P$8:$P$103,L$2,Zeiterfassung!$J$8:$J$103,'R Std.Monat'!$A4)</f>
        <v>0</v>
      </c>
      <c r="M4" s="85">
        <f ca="1">SUMIFS(Zeiterfassung!$G$8:$G$103,Zeiterfassung!$P$8:$P$103,M$2,Zeiterfassung!$J$8:$J$103,'R Std.Monat'!$A4)</f>
        <v>0</v>
      </c>
      <c r="N4" s="41">
        <f ca="1">SUM(B4:M4)</f>
        <v>3</v>
      </c>
    </row>
    <row r="5" spans="1:14" ht="18" customHeight="1" x14ac:dyDescent="0.2">
      <c r="A5" s="31" t="str">
        <f ca="1">OFFSET(Basisdaten!B19,1,0)</f>
        <v>Vertrieb</v>
      </c>
      <c r="B5" s="85">
        <f ca="1">SUMIFS(Zeiterfassung!$G$8:$G$103,Zeiterfassung!$P$8:$P$103,B$2,Zeiterfassung!$J$8:$J$103,'R Std.Monat'!$A5)</f>
        <v>0</v>
      </c>
      <c r="C5" s="85">
        <f ca="1">SUMIFS(Zeiterfassung!$G$8:$G$103,Zeiterfassung!$P$8:$P$103,C$2,Zeiterfassung!$J$8:$J$103,'R Std.Monat'!$A5)</f>
        <v>0</v>
      </c>
      <c r="D5" s="85">
        <f ca="1">SUMIFS(Zeiterfassung!$G$8:$G$103,Zeiterfassung!$P$8:$P$103,D$2,Zeiterfassung!$J$8:$J$103,'R Std.Monat'!$A5)</f>
        <v>0</v>
      </c>
      <c r="E5" s="85">
        <f ca="1">SUMIFS(Zeiterfassung!$G$8:$G$103,Zeiterfassung!$P$8:$P$103,E$2,Zeiterfassung!$J$8:$J$103,'R Std.Monat'!$A5)</f>
        <v>0</v>
      </c>
      <c r="F5" s="85">
        <f ca="1">SUMIFS(Zeiterfassung!$G$8:$G$103,Zeiterfassung!$P$8:$P$103,F$2,Zeiterfassung!$J$8:$J$103,'R Std.Monat'!$A5)</f>
        <v>0</v>
      </c>
      <c r="G5" s="85">
        <f ca="1">SUMIFS(Zeiterfassung!$G$8:$G$103,Zeiterfassung!$P$8:$P$103,G$2,Zeiterfassung!$J$8:$J$103,'R Std.Monat'!$A5)</f>
        <v>0</v>
      </c>
      <c r="H5" s="85">
        <f ca="1">SUMIFS(Zeiterfassung!$G$8:$G$103,Zeiterfassung!$P$8:$P$103,H$2,Zeiterfassung!$J$8:$J$103,'R Std.Monat'!$A5)</f>
        <v>1</v>
      </c>
      <c r="I5" s="85">
        <f ca="1">SUMIFS(Zeiterfassung!$G$8:$G$103,Zeiterfassung!$P$8:$P$103,I$2,Zeiterfassung!$J$8:$J$103,'R Std.Monat'!$A5)</f>
        <v>0</v>
      </c>
      <c r="J5" s="85">
        <f ca="1">SUMIFS(Zeiterfassung!$G$8:$G$103,Zeiterfassung!$P$8:$P$103,J$2,Zeiterfassung!$J$8:$J$103,'R Std.Monat'!$A5)</f>
        <v>0</v>
      </c>
      <c r="K5" s="85">
        <f ca="1">SUMIFS(Zeiterfassung!$G$8:$G$103,Zeiterfassung!$P$8:$P$103,K$2,Zeiterfassung!$J$8:$J$103,'R Std.Monat'!$A5)</f>
        <v>0</v>
      </c>
      <c r="L5" s="85">
        <f ca="1">SUMIFS(Zeiterfassung!$G$8:$G$103,Zeiterfassung!$P$8:$P$103,L$2,Zeiterfassung!$J$8:$J$103,'R Std.Monat'!$A5)</f>
        <v>0</v>
      </c>
      <c r="M5" s="85">
        <f ca="1">SUMIFS(Zeiterfassung!$G$8:$G$103,Zeiterfassung!$P$8:$P$103,M$2,Zeiterfassung!$J$8:$J$103,'R Std.Monat'!$A5)</f>
        <v>0</v>
      </c>
      <c r="N5" s="41">
        <f t="shared" ref="N5:N11" ca="1" si="0">SUM(B5:M5)</f>
        <v>1</v>
      </c>
    </row>
    <row r="6" spans="1:14" ht="18" customHeight="1" x14ac:dyDescent="0.2">
      <c r="A6" s="31" t="str">
        <f ca="1">OFFSET(Basisdaten!B20,1,0)</f>
        <v>Netzwerk</v>
      </c>
      <c r="B6" s="85">
        <f ca="1">SUMIFS(Zeiterfassung!$G$8:$G$103,Zeiterfassung!$P$8:$P$103,B$2,Zeiterfassung!$J$8:$J$103,'R Std.Monat'!$A6)</f>
        <v>0</v>
      </c>
      <c r="C6" s="85">
        <f ca="1">SUMIFS(Zeiterfassung!$G$8:$G$103,Zeiterfassung!$P$8:$P$103,C$2,Zeiterfassung!$J$8:$J$103,'R Std.Monat'!$A6)</f>
        <v>0</v>
      </c>
      <c r="D6" s="85">
        <f ca="1">SUMIFS(Zeiterfassung!$G$8:$G$103,Zeiterfassung!$P$8:$P$103,D$2,Zeiterfassung!$J$8:$J$103,'R Std.Monat'!$A6)</f>
        <v>0</v>
      </c>
      <c r="E6" s="85">
        <f ca="1">SUMIFS(Zeiterfassung!$G$8:$G$103,Zeiterfassung!$P$8:$P$103,E$2,Zeiterfassung!$J$8:$J$103,'R Std.Monat'!$A6)</f>
        <v>0</v>
      </c>
      <c r="F6" s="85">
        <f ca="1">SUMIFS(Zeiterfassung!$G$8:$G$103,Zeiterfassung!$P$8:$P$103,F$2,Zeiterfassung!$J$8:$J$103,'R Std.Monat'!$A6)</f>
        <v>0</v>
      </c>
      <c r="G6" s="85">
        <f ca="1">SUMIFS(Zeiterfassung!$G$8:$G$103,Zeiterfassung!$P$8:$P$103,G$2,Zeiterfassung!$J$8:$J$103,'R Std.Monat'!$A6)</f>
        <v>0</v>
      </c>
      <c r="H6" s="85">
        <f ca="1">SUMIFS(Zeiterfassung!$G$8:$G$103,Zeiterfassung!$P$8:$P$103,H$2,Zeiterfassung!$J$8:$J$103,'R Std.Monat'!$A6)</f>
        <v>1</v>
      </c>
      <c r="I6" s="85">
        <f ca="1">SUMIFS(Zeiterfassung!$G$8:$G$103,Zeiterfassung!$P$8:$P$103,I$2,Zeiterfassung!$J$8:$J$103,'R Std.Monat'!$A6)</f>
        <v>0</v>
      </c>
      <c r="J6" s="85">
        <f ca="1">SUMIFS(Zeiterfassung!$G$8:$G$103,Zeiterfassung!$P$8:$P$103,J$2,Zeiterfassung!$J$8:$J$103,'R Std.Monat'!$A6)</f>
        <v>0</v>
      </c>
      <c r="K6" s="85">
        <f ca="1">SUMIFS(Zeiterfassung!$G$8:$G$103,Zeiterfassung!$P$8:$P$103,K$2,Zeiterfassung!$J$8:$J$103,'R Std.Monat'!$A6)</f>
        <v>0</v>
      </c>
      <c r="L6" s="85">
        <f ca="1">SUMIFS(Zeiterfassung!$G$8:$G$103,Zeiterfassung!$P$8:$P$103,L$2,Zeiterfassung!$J$8:$J$103,'R Std.Monat'!$A6)</f>
        <v>0</v>
      </c>
      <c r="M6" s="85">
        <f ca="1">SUMIFS(Zeiterfassung!$G$8:$G$103,Zeiterfassung!$P$8:$P$103,M$2,Zeiterfassung!$J$8:$J$103,'R Std.Monat'!$A6)</f>
        <v>0</v>
      </c>
      <c r="N6" s="41">
        <f t="shared" ca="1" si="0"/>
        <v>1</v>
      </c>
    </row>
    <row r="7" spans="1:14" ht="18" customHeight="1" x14ac:dyDescent="0.2">
      <c r="A7" s="31" t="str">
        <f ca="1">OFFSET(Basisdaten!B21,1,0)</f>
        <v>Projekt A</v>
      </c>
      <c r="B7" s="85">
        <f ca="1">SUMIFS(Zeiterfassung!$G$8:$G$103,Zeiterfassung!$P$8:$P$103,B$2,Zeiterfassung!$J$8:$J$103,'R Std.Monat'!$A7)</f>
        <v>0</v>
      </c>
      <c r="C7" s="85">
        <f ca="1">SUMIFS(Zeiterfassung!$G$8:$G$103,Zeiterfassung!$P$8:$P$103,C$2,Zeiterfassung!$J$8:$J$103,'R Std.Monat'!$A7)</f>
        <v>34.25</v>
      </c>
      <c r="D7" s="85">
        <f ca="1">SUMIFS(Zeiterfassung!$G$8:$G$103,Zeiterfassung!$P$8:$P$103,D$2,Zeiterfassung!$J$8:$J$103,'R Std.Monat'!$A7)</f>
        <v>0</v>
      </c>
      <c r="E7" s="85">
        <f ca="1">SUMIFS(Zeiterfassung!$G$8:$G$103,Zeiterfassung!$P$8:$P$103,E$2,Zeiterfassung!$J$8:$J$103,'R Std.Monat'!$A7)</f>
        <v>0</v>
      </c>
      <c r="F7" s="85">
        <f ca="1">SUMIFS(Zeiterfassung!$G$8:$G$103,Zeiterfassung!$P$8:$P$103,F$2,Zeiterfassung!$J$8:$J$103,'R Std.Monat'!$A7)</f>
        <v>0</v>
      </c>
      <c r="G7" s="85">
        <f ca="1">SUMIFS(Zeiterfassung!$G$8:$G$103,Zeiterfassung!$P$8:$P$103,G$2,Zeiterfassung!$J$8:$J$103,'R Std.Monat'!$A7)</f>
        <v>0</v>
      </c>
      <c r="H7" s="85">
        <f ca="1">SUMIFS(Zeiterfassung!$G$8:$G$103,Zeiterfassung!$P$8:$P$103,H$2,Zeiterfassung!$J$8:$J$103,'R Std.Monat'!$A7)</f>
        <v>21.75</v>
      </c>
      <c r="I7" s="85">
        <f ca="1">SUMIFS(Zeiterfassung!$G$8:$G$103,Zeiterfassung!$P$8:$P$103,I$2,Zeiterfassung!$J$8:$J$103,'R Std.Monat'!$A7)</f>
        <v>0</v>
      </c>
      <c r="J7" s="85">
        <f ca="1">SUMIFS(Zeiterfassung!$G$8:$G$103,Zeiterfassung!$P$8:$P$103,J$2,Zeiterfassung!$J$8:$J$103,'R Std.Monat'!$A7)</f>
        <v>0</v>
      </c>
      <c r="K7" s="85">
        <f ca="1">SUMIFS(Zeiterfassung!$G$8:$G$103,Zeiterfassung!$P$8:$P$103,K$2,Zeiterfassung!$J$8:$J$103,'R Std.Monat'!$A7)</f>
        <v>0</v>
      </c>
      <c r="L7" s="85">
        <f ca="1">SUMIFS(Zeiterfassung!$G$8:$G$103,Zeiterfassung!$P$8:$P$103,L$2,Zeiterfassung!$J$8:$J$103,'R Std.Monat'!$A7)</f>
        <v>0</v>
      </c>
      <c r="M7" s="85">
        <f ca="1">SUMIFS(Zeiterfassung!$G$8:$G$103,Zeiterfassung!$P$8:$P$103,M$2,Zeiterfassung!$J$8:$J$103,'R Std.Monat'!$A7)</f>
        <v>0</v>
      </c>
      <c r="N7" s="41">
        <f t="shared" ca="1" si="0"/>
        <v>56</v>
      </c>
    </row>
    <row r="8" spans="1:14" ht="18" customHeight="1" x14ac:dyDescent="0.2">
      <c r="A8" s="31" t="str">
        <f ca="1">OFFSET(Basisdaten!B22,1,0)</f>
        <v>Projekt B</v>
      </c>
      <c r="B8" s="85">
        <f ca="1">SUMIFS(Zeiterfassung!$G$8:$G$103,Zeiterfassung!$P$8:$P$103,B$2,Zeiterfassung!$J$8:$J$103,'R Std.Monat'!$A8)</f>
        <v>0</v>
      </c>
      <c r="C8" s="85">
        <f ca="1">SUMIFS(Zeiterfassung!$G$8:$G$103,Zeiterfassung!$P$8:$P$103,C$2,Zeiterfassung!$J$8:$J$103,'R Std.Monat'!$A8)</f>
        <v>0</v>
      </c>
      <c r="D8" s="85">
        <f ca="1">SUMIFS(Zeiterfassung!$G$8:$G$103,Zeiterfassung!$P$8:$P$103,D$2,Zeiterfassung!$J$8:$J$103,'R Std.Monat'!$A8)</f>
        <v>0</v>
      </c>
      <c r="E8" s="85">
        <f ca="1">SUMIFS(Zeiterfassung!$G$8:$G$103,Zeiterfassung!$P$8:$P$103,E$2,Zeiterfassung!$J$8:$J$103,'R Std.Monat'!$A8)</f>
        <v>0</v>
      </c>
      <c r="F8" s="85">
        <f ca="1">SUMIFS(Zeiterfassung!$G$8:$G$103,Zeiterfassung!$P$8:$P$103,F$2,Zeiterfassung!$J$8:$J$103,'R Std.Monat'!$A8)</f>
        <v>0</v>
      </c>
      <c r="G8" s="85">
        <f ca="1">SUMIFS(Zeiterfassung!$G$8:$G$103,Zeiterfassung!$P$8:$P$103,G$2,Zeiterfassung!$J$8:$J$103,'R Std.Monat'!$A8)</f>
        <v>0</v>
      </c>
      <c r="H8" s="85">
        <f ca="1">SUMIFS(Zeiterfassung!$G$8:$G$103,Zeiterfassung!$P$8:$P$103,H$2,Zeiterfassung!$J$8:$J$103,'R Std.Monat'!$A8)</f>
        <v>10.5</v>
      </c>
      <c r="I8" s="85">
        <f ca="1">SUMIFS(Zeiterfassung!$G$8:$G$103,Zeiterfassung!$P$8:$P$103,I$2,Zeiterfassung!$J$8:$J$103,'R Std.Monat'!$A8)</f>
        <v>0</v>
      </c>
      <c r="J8" s="85">
        <f ca="1">SUMIFS(Zeiterfassung!$G$8:$G$103,Zeiterfassung!$P$8:$P$103,J$2,Zeiterfassung!$J$8:$J$103,'R Std.Monat'!$A8)</f>
        <v>0</v>
      </c>
      <c r="K8" s="85">
        <f ca="1">SUMIFS(Zeiterfassung!$G$8:$G$103,Zeiterfassung!$P$8:$P$103,K$2,Zeiterfassung!$J$8:$J$103,'R Std.Monat'!$A8)</f>
        <v>0</v>
      </c>
      <c r="L8" s="85">
        <f ca="1">SUMIFS(Zeiterfassung!$G$8:$G$103,Zeiterfassung!$P$8:$P$103,L$2,Zeiterfassung!$J$8:$J$103,'R Std.Monat'!$A8)</f>
        <v>0</v>
      </c>
      <c r="M8" s="85">
        <f ca="1">SUMIFS(Zeiterfassung!$G$8:$G$103,Zeiterfassung!$P$8:$P$103,M$2,Zeiterfassung!$J$8:$J$103,'R Std.Monat'!$A8)</f>
        <v>0</v>
      </c>
      <c r="N8" s="41">
        <f t="shared" ca="1" si="0"/>
        <v>10.5</v>
      </c>
    </row>
    <row r="9" spans="1:14" ht="18" customHeight="1" x14ac:dyDescent="0.2">
      <c r="A9" s="31" t="str">
        <f ca="1">OFFSET(Basisdaten!B23,1,0)</f>
        <v>Projekt G</v>
      </c>
      <c r="B9" s="85">
        <f ca="1">SUMIFS(Zeiterfassung!$G$8:$G$103,Zeiterfassung!$P$8:$P$103,B$2,Zeiterfassung!$J$8:$J$103,'R Std.Monat'!$A9)</f>
        <v>0</v>
      </c>
      <c r="C9" s="85">
        <f ca="1">SUMIFS(Zeiterfassung!$G$8:$G$103,Zeiterfassung!$P$8:$P$103,C$2,Zeiterfassung!$J$8:$J$103,'R Std.Monat'!$A9)</f>
        <v>0</v>
      </c>
      <c r="D9" s="85">
        <f ca="1">SUMIFS(Zeiterfassung!$G$8:$G$103,Zeiterfassung!$P$8:$P$103,D$2,Zeiterfassung!$J$8:$J$103,'R Std.Monat'!$A9)</f>
        <v>0</v>
      </c>
      <c r="E9" s="85">
        <f ca="1">SUMIFS(Zeiterfassung!$G$8:$G$103,Zeiterfassung!$P$8:$P$103,E$2,Zeiterfassung!$J$8:$J$103,'R Std.Monat'!$A9)</f>
        <v>0</v>
      </c>
      <c r="F9" s="85">
        <f ca="1">SUMIFS(Zeiterfassung!$G$8:$G$103,Zeiterfassung!$P$8:$P$103,F$2,Zeiterfassung!$J$8:$J$103,'R Std.Monat'!$A9)</f>
        <v>0</v>
      </c>
      <c r="G9" s="85">
        <f ca="1">SUMIFS(Zeiterfassung!$G$8:$G$103,Zeiterfassung!$P$8:$P$103,G$2,Zeiterfassung!$J$8:$J$103,'R Std.Monat'!$A9)</f>
        <v>0</v>
      </c>
      <c r="H9" s="85">
        <f ca="1">SUMIFS(Zeiterfassung!$G$8:$G$103,Zeiterfassung!$P$8:$P$103,H$2,Zeiterfassung!$J$8:$J$103,'R Std.Monat'!$A9)</f>
        <v>0</v>
      </c>
      <c r="I9" s="85">
        <f ca="1">SUMIFS(Zeiterfassung!$G$8:$G$103,Zeiterfassung!$P$8:$P$103,I$2,Zeiterfassung!$J$8:$J$103,'R Std.Monat'!$A9)</f>
        <v>0</v>
      </c>
      <c r="J9" s="85">
        <f ca="1">SUMIFS(Zeiterfassung!$G$8:$G$103,Zeiterfassung!$P$8:$P$103,J$2,Zeiterfassung!$J$8:$J$103,'R Std.Monat'!$A9)</f>
        <v>3.5</v>
      </c>
      <c r="K9" s="85">
        <f ca="1">SUMIFS(Zeiterfassung!$G$8:$G$103,Zeiterfassung!$P$8:$P$103,K$2,Zeiterfassung!$J$8:$J$103,'R Std.Monat'!$A9)</f>
        <v>0</v>
      </c>
      <c r="L9" s="85">
        <f ca="1">SUMIFS(Zeiterfassung!$G$8:$G$103,Zeiterfassung!$P$8:$P$103,L$2,Zeiterfassung!$J$8:$J$103,'R Std.Monat'!$A9)</f>
        <v>0</v>
      </c>
      <c r="M9" s="85">
        <f ca="1">SUMIFS(Zeiterfassung!$G$8:$G$103,Zeiterfassung!$P$8:$P$103,M$2,Zeiterfassung!$J$8:$J$103,'R Std.Monat'!$A9)</f>
        <v>0</v>
      </c>
      <c r="N9" s="41">
        <f t="shared" ca="1" si="0"/>
        <v>3.5</v>
      </c>
    </row>
    <row r="10" spans="1:14" ht="18" customHeight="1" x14ac:dyDescent="0.2">
      <c r="A10" s="31">
        <f ca="1">OFFSET(Basisdaten!B24,1,0)</f>
        <v>0</v>
      </c>
      <c r="B10" s="85">
        <f ca="1">SUMIFS(Zeiterfassung!$G$8:$G$103,Zeiterfassung!$P$8:$P$103,B$2,Zeiterfassung!$J$8:$J$103,'R Std.Monat'!$A10)</f>
        <v>0</v>
      </c>
      <c r="C10" s="85">
        <f ca="1">SUMIFS(Zeiterfassung!$G$8:$G$103,Zeiterfassung!$P$8:$P$103,C$2,Zeiterfassung!$J$8:$J$103,'R Std.Monat'!$A10)</f>
        <v>0</v>
      </c>
      <c r="D10" s="85">
        <f ca="1">SUMIFS(Zeiterfassung!$G$8:$G$103,Zeiterfassung!$P$8:$P$103,D$2,Zeiterfassung!$J$8:$J$103,'R Std.Monat'!$A10)</f>
        <v>0</v>
      </c>
      <c r="E10" s="85">
        <f ca="1">SUMIFS(Zeiterfassung!$G$8:$G$103,Zeiterfassung!$P$8:$P$103,E$2,Zeiterfassung!$J$8:$J$103,'R Std.Monat'!$A10)</f>
        <v>0</v>
      </c>
      <c r="F10" s="85">
        <f ca="1">SUMIFS(Zeiterfassung!$G$8:$G$103,Zeiterfassung!$P$8:$P$103,F$2,Zeiterfassung!$J$8:$J$103,'R Std.Monat'!$A10)</f>
        <v>0</v>
      </c>
      <c r="G10" s="85">
        <f ca="1">SUMIFS(Zeiterfassung!$G$8:$G$103,Zeiterfassung!$P$8:$P$103,G$2,Zeiterfassung!$J$8:$J$103,'R Std.Monat'!$A10)</f>
        <v>0</v>
      </c>
      <c r="H10" s="85">
        <f ca="1">SUMIFS(Zeiterfassung!$G$8:$G$103,Zeiterfassung!$P$8:$P$103,H$2,Zeiterfassung!$J$8:$J$103,'R Std.Monat'!$A10)</f>
        <v>0</v>
      </c>
      <c r="I10" s="85">
        <f ca="1">SUMIFS(Zeiterfassung!$G$8:$G$103,Zeiterfassung!$P$8:$P$103,I$2,Zeiterfassung!$J$8:$J$103,'R Std.Monat'!$A10)</f>
        <v>0</v>
      </c>
      <c r="J10" s="85">
        <f ca="1">SUMIFS(Zeiterfassung!$G$8:$G$103,Zeiterfassung!$P$8:$P$103,J$2,Zeiterfassung!$J$8:$J$103,'R Std.Monat'!$A10)</f>
        <v>0</v>
      </c>
      <c r="K10" s="85">
        <f ca="1">SUMIFS(Zeiterfassung!$G$8:$G$103,Zeiterfassung!$P$8:$P$103,K$2,Zeiterfassung!$J$8:$J$103,'R Std.Monat'!$A10)</f>
        <v>0</v>
      </c>
      <c r="L10" s="85">
        <f ca="1">SUMIFS(Zeiterfassung!$G$8:$G$103,Zeiterfassung!$P$8:$P$103,L$2,Zeiterfassung!$J$8:$J$103,'R Std.Monat'!$A10)</f>
        <v>0</v>
      </c>
      <c r="M10" s="85">
        <f ca="1">SUMIFS(Zeiterfassung!$G$8:$G$103,Zeiterfassung!$P$8:$P$103,M$2,Zeiterfassung!$J$8:$J$103,'R Std.Monat'!$A10)</f>
        <v>0</v>
      </c>
      <c r="N10" s="41">
        <f t="shared" ca="1" si="0"/>
        <v>0</v>
      </c>
    </row>
    <row r="11" spans="1:14" ht="18" customHeight="1" x14ac:dyDescent="0.2">
      <c r="A11" s="31">
        <f ca="1">OFFSET(Basisdaten!B25,1,0)</f>
        <v>0</v>
      </c>
      <c r="B11" s="85">
        <f ca="1">SUMIFS(Zeiterfassung!$G$8:$G$103,Zeiterfassung!$P$8:$P$103,B$2,Zeiterfassung!$J$8:$J$103,'R Std.Monat'!$A11)</f>
        <v>0</v>
      </c>
      <c r="C11" s="85">
        <f ca="1">SUMIFS(Zeiterfassung!$G$8:$G$103,Zeiterfassung!$P$8:$P$103,C$2,Zeiterfassung!$J$8:$J$103,'R Std.Monat'!$A11)</f>
        <v>0</v>
      </c>
      <c r="D11" s="85">
        <f ca="1">SUMIFS(Zeiterfassung!$G$8:$G$103,Zeiterfassung!$P$8:$P$103,D$2,Zeiterfassung!$J$8:$J$103,'R Std.Monat'!$A11)</f>
        <v>0</v>
      </c>
      <c r="E11" s="85">
        <f ca="1">SUMIFS(Zeiterfassung!$G$8:$G$103,Zeiterfassung!$P$8:$P$103,E$2,Zeiterfassung!$J$8:$J$103,'R Std.Monat'!$A11)</f>
        <v>0</v>
      </c>
      <c r="F11" s="85">
        <f ca="1">SUMIFS(Zeiterfassung!$G$8:$G$103,Zeiterfassung!$P$8:$P$103,F$2,Zeiterfassung!$J$8:$J$103,'R Std.Monat'!$A11)</f>
        <v>0</v>
      </c>
      <c r="G11" s="85">
        <f ca="1">SUMIFS(Zeiterfassung!$G$8:$G$103,Zeiterfassung!$P$8:$P$103,G$2,Zeiterfassung!$J$8:$J$103,'R Std.Monat'!$A11)</f>
        <v>0</v>
      </c>
      <c r="H11" s="85">
        <f ca="1">SUMIFS(Zeiterfassung!$G$8:$G$103,Zeiterfassung!$P$8:$P$103,H$2,Zeiterfassung!$J$8:$J$103,'R Std.Monat'!$A11)</f>
        <v>0</v>
      </c>
      <c r="I11" s="85">
        <f ca="1">SUMIFS(Zeiterfassung!$G$8:$G$103,Zeiterfassung!$P$8:$P$103,I$2,Zeiterfassung!$J$8:$J$103,'R Std.Monat'!$A11)</f>
        <v>0</v>
      </c>
      <c r="J11" s="85">
        <f ca="1">SUMIFS(Zeiterfassung!$G$8:$G$103,Zeiterfassung!$P$8:$P$103,J$2,Zeiterfassung!$J$8:$J$103,'R Std.Monat'!$A11)</f>
        <v>0</v>
      </c>
      <c r="K11" s="85">
        <f ca="1">SUMIFS(Zeiterfassung!$G$8:$G$103,Zeiterfassung!$P$8:$P$103,K$2,Zeiterfassung!$J$8:$J$103,'R Std.Monat'!$A11)</f>
        <v>0</v>
      </c>
      <c r="L11" s="85">
        <f ca="1">SUMIFS(Zeiterfassung!$G$8:$G$103,Zeiterfassung!$P$8:$P$103,L$2,Zeiterfassung!$J$8:$J$103,'R Std.Monat'!$A11)</f>
        <v>0</v>
      </c>
      <c r="M11" s="85">
        <f ca="1">SUMIFS(Zeiterfassung!$G$8:$G$103,Zeiterfassung!$P$8:$P$103,M$2,Zeiterfassung!$J$8:$J$103,'R Std.Monat'!$A11)</f>
        <v>0</v>
      </c>
      <c r="N11" s="41">
        <f t="shared" ca="1" si="0"/>
        <v>0</v>
      </c>
    </row>
    <row r="12" spans="1:14" x14ac:dyDescent="0.2">
      <c r="A12" s="29" t="s">
        <v>49</v>
      </c>
      <c r="B12" s="40">
        <f ca="1">SUM(B4:B11)</f>
        <v>0</v>
      </c>
      <c r="C12" s="40">
        <f t="shared" ref="C12:N12" ca="1" si="1">SUM(C4:C11)</f>
        <v>34.25</v>
      </c>
      <c r="D12" s="40">
        <f t="shared" ca="1" si="1"/>
        <v>0</v>
      </c>
      <c r="E12" s="40">
        <f t="shared" ca="1" si="1"/>
        <v>0</v>
      </c>
      <c r="F12" s="40">
        <f t="shared" ca="1" si="1"/>
        <v>0</v>
      </c>
      <c r="G12" s="40">
        <f t="shared" ca="1" si="1"/>
        <v>0</v>
      </c>
      <c r="H12" s="40">
        <f t="shared" ca="1" si="1"/>
        <v>37.25</v>
      </c>
      <c r="I12" s="40">
        <f t="shared" ca="1" si="1"/>
        <v>0</v>
      </c>
      <c r="J12" s="40">
        <f t="shared" ca="1" si="1"/>
        <v>3.5</v>
      </c>
      <c r="K12" s="40">
        <f t="shared" ca="1" si="1"/>
        <v>0</v>
      </c>
      <c r="L12" s="40">
        <f t="shared" ca="1" si="1"/>
        <v>0</v>
      </c>
      <c r="M12" s="40">
        <f t="shared" ca="1" si="1"/>
        <v>0</v>
      </c>
      <c r="N12" s="40">
        <f t="shared" ca="1" si="1"/>
        <v>75</v>
      </c>
    </row>
  </sheetData>
  <phoneticPr fontId="4" type="noConversion"/>
  <pageMargins left="0.70866141732283472" right="0.70866141732283472" top="0.78740157480314965" bottom="0.78740157480314965" header="0.31496062992125984" footer="0.31496062992125984"/>
  <pageSetup paperSize="9" scale="5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7EF-E9C8-48EB-AB75-E088A8123529}">
  <sheetPr>
    <pageSetUpPr fitToPage="1"/>
  </sheetPr>
  <dimension ref="A2:N12"/>
  <sheetViews>
    <sheetView showGridLines="0" zoomScaleNormal="70" workbookViewId="0">
      <selection activeCell="J9" sqref="J9"/>
    </sheetView>
  </sheetViews>
  <sheetFormatPr baseColWidth="10" defaultColWidth="11.5" defaultRowHeight="14" x14ac:dyDescent="0.2"/>
  <cols>
    <col min="1" max="1" width="11.6640625" style="42" bestFit="1" customWidth="1"/>
    <col min="2" max="14" width="12.6640625" style="42" customWidth="1"/>
    <col min="15" max="16384" width="11.5" style="42"/>
  </cols>
  <sheetData>
    <row r="2" spans="1:14" x14ac:dyDescent="0.2">
      <c r="B2" s="57">
        <v>1</v>
      </c>
      <c r="C2" s="57">
        <v>2</v>
      </c>
      <c r="D2" s="57">
        <v>3</v>
      </c>
      <c r="E2" s="57">
        <v>4</v>
      </c>
      <c r="F2" s="57">
        <v>5</v>
      </c>
      <c r="G2" s="57">
        <v>6</v>
      </c>
      <c r="H2" s="57">
        <v>7</v>
      </c>
      <c r="I2" s="57">
        <v>8</v>
      </c>
      <c r="J2" s="57">
        <v>9</v>
      </c>
      <c r="K2" s="57">
        <v>10</v>
      </c>
      <c r="L2" s="57">
        <v>11</v>
      </c>
      <c r="M2" s="57">
        <v>12</v>
      </c>
    </row>
    <row r="3" spans="1:14" ht="17.5" customHeight="1" x14ac:dyDescent="0.2">
      <c r="A3" s="50" t="str">
        <f>Basisdaten!B18</f>
        <v>Projekt</v>
      </c>
      <c r="B3" s="51" t="s">
        <v>37</v>
      </c>
      <c r="C3" s="51" t="s">
        <v>38</v>
      </c>
      <c r="D3" s="51" t="s">
        <v>39</v>
      </c>
      <c r="E3" s="51" t="s">
        <v>40</v>
      </c>
      <c r="F3" s="51" t="s">
        <v>41</v>
      </c>
      <c r="G3" s="51" t="s">
        <v>42</v>
      </c>
      <c r="H3" s="51" t="s">
        <v>43</v>
      </c>
      <c r="I3" s="51" t="s">
        <v>44</v>
      </c>
      <c r="J3" s="51" t="s">
        <v>45</v>
      </c>
      <c r="K3" s="51" t="s">
        <v>46</v>
      </c>
      <c r="L3" s="51" t="s">
        <v>47</v>
      </c>
      <c r="M3" s="51" t="s">
        <v>48</v>
      </c>
      <c r="N3" s="50" t="s">
        <v>49</v>
      </c>
    </row>
    <row r="4" spans="1:14" ht="18" customHeight="1" x14ac:dyDescent="0.2">
      <c r="A4" s="31" t="str">
        <f ca="1">OFFSET(Basisdaten!B18,1,0)</f>
        <v>Internes</v>
      </c>
      <c r="B4" s="43">
        <f ca="1">SUMIFS(Zeiterfassung!$O$8:$O$103,Zeiterfassung!$P$8:$P$103,B$2,Zeiterfassung!$J$8:$J$103,'R EUR.Monat'!$A4)</f>
        <v>0</v>
      </c>
      <c r="C4" s="43">
        <f ca="1">SUMIFS(Zeiterfassung!$O$8:$O$103,Zeiterfassung!$P$8:$P$103,C$2,Zeiterfassung!$J$8:$J$103,'R EUR.Monat'!$A4)</f>
        <v>0</v>
      </c>
      <c r="D4" s="43">
        <f ca="1">SUMIFS(Zeiterfassung!$O$8:$O$103,Zeiterfassung!$P$8:$P$103,D$2,Zeiterfassung!$J$8:$J$103,'R EUR.Monat'!$A4)</f>
        <v>0</v>
      </c>
      <c r="E4" s="43">
        <f ca="1">SUMIFS(Zeiterfassung!$O$8:$O$103,Zeiterfassung!$P$8:$P$103,E$2,Zeiterfassung!$J$8:$J$103,'R EUR.Monat'!$A4)</f>
        <v>0</v>
      </c>
      <c r="F4" s="43">
        <f ca="1">SUMIFS(Zeiterfassung!$O$8:$O$103,Zeiterfassung!$P$8:$P$103,F$2,Zeiterfassung!$J$8:$J$103,'R EUR.Monat'!$A4)</f>
        <v>0</v>
      </c>
      <c r="G4" s="43">
        <f ca="1">SUMIFS(Zeiterfassung!$O$8:$O$103,Zeiterfassung!$P$8:$P$103,G$2,Zeiterfassung!$J$8:$J$103,'R EUR.Monat'!$A4)</f>
        <v>0</v>
      </c>
      <c r="H4" s="43">
        <f ca="1">SUMIFS(Zeiterfassung!$O$8:$O$103,Zeiterfassung!$P$8:$P$103,H$2,Zeiterfassung!$J$8:$J$103,'R EUR.Monat'!$A4)</f>
        <v>0</v>
      </c>
      <c r="I4" s="43">
        <f ca="1">SUMIFS(Zeiterfassung!$O$8:$O$103,Zeiterfassung!$P$8:$P$103,I$2,Zeiterfassung!$J$8:$J$103,'R EUR.Monat'!$A4)</f>
        <v>0</v>
      </c>
      <c r="J4" s="43">
        <f ca="1">SUMIFS(Zeiterfassung!$O$8:$O$103,Zeiterfassung!$P$8:$P$103,J$2,Zeiterfassung!$J$8:$J$103,'R EUR.Monat'!$A4)</f>
        <v>0</v>
      </c>
      <c r="K4" s="43">
        <f ca="1">SUMIFS(Zeiterfassung!$O$8:$O$103,Zeiterfassung!$P$8:$P$103,K$2,Zeiterfassung!$J$8:$J$103,'R EUR.Monat'!$A4)</f>
        <v>0</v>
      </c>
      <c r="L4" s="43">
        <f ca="1">SUMIFS(Zeiterfassung!$O$8:$O$103,Zeiterfassung!$P$8:$P$103,L$2,Zeiterfassung!$J$8:$J$103,'R EUR.Monat'!$A4)</f>
        <v>0</v>
      </c>
      <c r="M4" s="43">
        <f ca="1">SUMIFS(Zeiterfassung!$O$8:$O$103,Zeiterfassung!$P$8:$P$103,M$2,Zeiterfassung!$J$8:$J$103,'R EUR.Monat'!$A4)</f>
        <v>0</v>
      </c>
      <c r="N4" s="44">
        <f ca="1">SUM(B4:M4)</f>
        <v>0</v>
      </c>
    </row>
    <row r="5" spans="1:14" ht="18" customHeight="1" x14ac:dyDescent="0.2">
      <c r="A5" s="31" t="str">
        <f ca="1">OFFSET(Basisdaten!B19,1,0)</f>
        <v>Vertrieb</v>
      </c>
      <c r="B5" s="43">
        <f ca="1">SUMIFS(Zeiterfassung!$O$8:$O$103,Zeiterfassung!$P$8:$P$103,B$2,Zeiterfassung!$J$8:$J$103,'R EUR.Monat'!$A5)</f>
        <v>0</v>
      </c>
      <c r="C5" s="43">
        <f ca="1">SUMIFS(Zeiterfassung!$O$8:$O$103,Zeiterfassung!$P$8:$P$103,C$2,Zeiterfassung!$J$8:$J$103,'R EUR.Monat'!$A5)</f>
        <v>0</v>
      </c>
      <c r="D5" s="43">
        <f ca="1">SUMIFS(Zeiterfassung!$O$8:$O$103,Zeiterfassung!$P$8:$P$103,D$2,Zeiterfassung!$J$8:$J$103,'R EUR.Monat'!$A5)</f>
        <v>0</v>
      </c>
      <c r="E5" s="43">
        <f ca="1">SUMIFS(Zeiterfassung!$O$8:$O$103,Zeiterfassung!$P$8:$P$103,E$2,Zeiterfassung!$J$8:$J$103,'R EUR.Monat'!$A5)</f>
        <v>0</v>
      </c>
      <c r="F5" s="43">
        <f ca="1">SUMIFS(Zeiterfassung!$O$8:$O$103,Zeiterfassung!$P$8:$P$103,F$2,Zeiterfassung!$J$8:$J$103,'R EUR.Monat'!$A5)</f>
        <v>0</v>
      </c>
      <c r="G5" s="43">
        <f ca="1">SUMIFS(Zeiterfassung!$O$8:$O$103,Zeiterfassung!$P$8:$P$103,G$2,Zeiterfassung!$J$8:$J$103,'R EUR.Monat'!$A5)</f>
        <v>0</v>
      </c>
      <c r="H5" s="43">
        <f ca="1">SUMIFS(Zeiterfassung!$O$8:$O$103,Zeiterfassung!$P$8:$P$103,H$2,Zeiterfassung!$J$8:$J$103,'R EUR.Monat'!$A5)</f>
        <v>0</v>
      </c>
      <c r="I5" s="43">
        <f ca="1">SUMIFS(Zeiterfassung!$O$8:$O$103,Zeiterfassung!$P$8:$P$103,I$2,Zeiterfassung!$J$8:$J$103,'R EUR.Monat'!$A5)</f>
        <v>0</v>
      </c>
      <c r="J5" s="43">
        <f ca="1">SUMIFS(Zeiterfassung!$O$8:$O$103,Zeiterfassung!$P$8:$P$103,J$2,Zeiterfassung!$J$8:$J$103,'R EUR.Monat'!$A5)</f>
        <v>0</v>
      </c>
      <c r="K5" s="43">
        <f ca="1">SUMIFS(Zeiterfassung!$O$8:$O$103,Zeiterfassung!$P$8:$P$103,K$2,Zeiterfassung!$J$8:$J$103,'R EUR.Monat'!$A5)</f>
        <v>0</v>
      </c>
      <c r="L5" s="43">
        <f ca="1">SUMIFS(Zeiterfassung!$O$8:$O$103,Zeiterfassung!$P$8:$P$103,L$2,Zeiterfassung!$J$8:$J$103,'R EUR.Monat'!$A5)</f>
        <v>0</v>
      </c>
      <c r="M5" s="43">
        <f ca="1">SUMIFS(Zeiterfassung!$O$8:$O$103,Zeiterfassung!$P$8:$P$103,M$2,Zeiterfassung!$J$8:$J$103,'R EUR.Monat'!$A5)</f>
        <v>0</v>
      </c>
      <c r="N5" s="44">
        <f t="shared" ref="N5:N11" ca="1" si="0">SUM(B5:M5)</f>
        <v>0</v>
      </c>
    </row>
    <row r="6" spans="1:14" ht="18" customHeight="1" x14ac:dyDescent="0.2">
      <c r="A6" s="31" t="str">
        <f ca="1">OFFSET(Basisdaten!B20,1,0)</f>
        <v>Netzwerk</v>
      </c>
      <c r="B6" s="43">
        <f ca="1">SUMIFS(Zeiterfassung!$O$8:$O$103,Zeiterfassung!$P$8:$P$103,B$2,Zeiterfassung!$J$8:$J$103,'R EUR.Monat'!$A6)</f>
        <v>0</v>
      </c>
      <c r="C6" s="43">
        <f ca="1">SUMIFS(Zeiterfassung!$O$8:$O$103,Zeiterfassung!$P$8:$P$103,C$2,Zeiterfassung!$J$8:$J$103,'R EUR.Monat'!$A6)</f>
        <v>0</v>
      </c>
      <c r="D6" s="43">
        <f ca="1">SUMIFS(Zeiterfassung!$O$8:$O$103,Zeiterfassung!$P$8:$P$103,D$2,Zeiterfassung!$J$8:$J$103,'R EUR.Monat'!$A6)</f>
        <v>0</v>
      </c>
      <c r="E6" s="43">
        <f ca="1">SUMIFS(Zeiterfassung!$O$8:$O$103,Zeiterfassung!$P$8:$P$103,E$2,Zeiterfassung!$J$8:$J$103,'R EUR.Monat'!$A6)</f>
        <v>0</v>
      </c>
      <c r="F6" s="43">
        <f ca="1">SUMIFS(Zeiterfassung!$O$8:$O$103,Zeiterfassung!$P$8:$P$103,F$2,Zeiterfassung!$J$8:$J$103,'R EUR.Monat'!$A6)</f>
        <v>0</v>
      </c>
      <c r="G6" s="43">
        <f ca="1">SUMIFS(Zeiterfassung!$O$8:$O$103,Zeiterfassung!$P$8:$P$103,G$2,Zeiterfassung!$J$8:$J$103,'R EUR.Monat'!$A6)</f>
        <v>0</v>
      </c>
      <c r="H6" s="43">
        <f ca="1">SUMIFS(Zeiterfassung!$O$8:$O$103,Zeiterfassung!$P$8:$P$103,H$2,Zeiterfassung!$J$8:$J$103,'R EUR.Monat'!$A6)</f>
        <v>0</v>
      </c>
      <c r="I6" s="43">
        <f ca="1">SUMIFS(Zeiterfassung!$O$8:$O$103,Zeiterfassung!$P$8:$P$103,I$2,Zeiterfassung!$J$8:$J$103,'R EUR.Monat'!$A6)</f>
        <v>0</v>
      </c>
      <c r="J6" s="43">
        <f ca="1">SUMIFS(Zeiterfassung!$O$8:$O$103,Zeiterfassung!$P$8:$P$103,J$2,Zeiterfassung!$J$8:$J$103,'R EUR.Monat'!$A6)</f>
        <v>0</v>
      </c>
      <c r="K6" s="43">
        <f ca="1">SUMIFS(Zeiterfassung!$O$8:$O$103,Zeiterfassung!$P$8:$P$103,K$2,Zeiterfassung!$J$8:$J$103,'R EUR.Monat'!$A6)</f>
        <v>0</v>
      </c>
      <c r="L6" s="43">
        <f ca="1">SUMIFS(Zeiterfassung!$O$8:$O$103,Zeiterfassung!$P$8:$P$103,L$2,Zeiterfassung!$J$8:$J$103,'R EUR.Monat'!$A6)</f>
        <v>0</v>
      </c>
      <c r="M6" s="43">
        <f ca="1">SUMIFS(Zeiterfassung!$O$8:$O$103,Zeiterfassung!$P$8:$P$103,M$2,Zeiterfassung!$J$8:$J$103,'R EUR.Monat'!$A6)</f>
        <v>0</v>
      </c>
      <c r="N6" s="44">
        <f t="shared" ca="1" si="0"/>
        <v>0</v>
      </c>
    </row>
    <row r="7" spans="1:14" ht="18" customHeight="1" x14ac:dyDescent="0.2">
      <c r="A7" s="31" t="str">
        <f ca="1">OFFSET(Basisdaten!B21,1,0)</f>
        <v>Projekt A</v>
      </c>
      <c r="B7" s="43">
        <f ca="1">SUMIFS(Zeiterfassung!$O$8:$O$103,Zeiterfassung!$P$8:$P$103,B$2,Zeiterfassung!$J$8:$J$103,'R EUR.Monat'!$A7)</f>
        <v>0</v>
      </c>
      <c r="C7" s="43">
        <f ca="1">SUMIFS(Zeiterfassung!$O$8:$O$103,Zeiterfassung!$P$8:$P$103,C$2,Zeiterfassung!$J$8:$J$103,'R EUR.Monat'!$A7)</f>
        <v>3082.5</v>
      </c>
      <c r="D7" s="43">
        <f ca="1">SUMIFS(Zeiterfassung!$O$8:$O$103,Zeiterfassung!$P$8:$P$103,D$2,Zeiterfassung!$J$8:$J$103,'R EUR.Monat'!$A7)</f>
        <v>0</v>
      </c>
      <c r="E7" s="43">
        <f ca="1">SUMIFS(Zeiterfassung!$O$8:$O$103,Zeiterfassung!$P$8:$P$103,E$2,Zeiterfassung!$J$8:$J$103,'R EUR.Monat'!$A7)</f>
        <v>0</v>
      </c>
      <c r="F7" s="43">
        <f ca="1">SUMIFS(Zeiterfassung!$O$8:$O$103,Zeiterfassung!$P$8:$P$103,F$2,Zeiterfassung!$J$8:$J$103,'R EUR.Monat'!$A7)</f>
        <v>0</v>
      </c>
      <c r="G7" s="43">
        <f ca="1">SUMIFS(Zeiterfassung!$O$8:$O$103,Zeiterfassung!$P$8:$P$103,G$2,Zeiterfassung!$J$8:$J$103,'R EUR.Monat'!$A7)</f>
        <v>0</v>
      </c>
      <c r="H7" s="43">
        <f ca="1">SUMIFS(Zeiterfassung!$O$8:$O$103,Zeiterfassung!$P$8:$P$103,H$2,Zeiterfassung!$J$8:$J$103,'R EUR.Monat'!$A7)</f>
        <v>1957.5</v>
      </c>
      <c r="I7" s="43">
        <f ca="1">SUMIFS(Zeiterfassung!$O$8:$O$103,Zeiterfassung!$P$8:$P$103,I$2,Zeiterfassung!$J$8:$J$103,'R EUR.Monat'!$A7)</f>
        <v>0</v>
      </c>
      <c r="J7" s="43">
        <f ca="1">SUMIFS(Zeiterfassung!$O$8:$O$103,Zeiterfassung!$P$8:$P$103,J$2,Zeiterfassung!$J$8:$J$103,'R EUR.Monat'!$A7)</f>
        <v>0</v>
      </c>
      <c r="K7" s="43">
        <f ca="1">SUMIFS(Zeiterfassung!$O$8:$O$103,Zeiterfassung!$P$8:$P$103,K$2,Zeiterfassung!$J$8:$J$103,'R EUR.Monat'!$A7)</f>
        <v>0</v>
      </c>
      <c r="L7" s="43">
        <f ca="1">SUMIFS(Zeiterfassung!$O$8:$O$103,Zeiterfassung!$P$8:$P$103,L$2,Zeiterfassung!$J$8:$J$103,'R EUR.Monat'!$A7)</f>
        <v>0</v>
      </c>
      <c r="M7" s="43">
        <f ca="1">SUMIFS(Zeiterfassung!$O$8:$O$103,Zeiterfassung!$P$8:$P$103,M$2,Zeiterfassung!$J$8:$J$103,'R EUR.Monat'!$A7)</f>
        <v>0</v>
      </c>
      <c r="N7" s="44">
        <f t="shared" ca="1" si="0"/>
        <v>5040</v>
      </c>
    </row>
    <row r="8" spans="1:14" ht="18" customHeight="1" x14ac:dyDescent="0.2">
      <c r="A8" s="31" t="str">
        <f ca="1">OFFSET(Basisdaten!B22,1,0)</f>
        <v>Projekt B</v>
      </c>
      <c r="B8" s="43">
        <f ca="1">SUMIFS(Zeiterfassung!$O$8:$O$103,Zeiterfassung!$P$8:$P$103,B$2,Zeiterfassung!$J$8:$J$103,'R EUR.Monat'!$A8)</f>
        <v>0</v>
      </c>
      <c r="C8" s="43">
        <f ca="1">SUMIFS(Zeiterfassung!$O$8:$O$103,Zeiterfassung!$P$8:$P$103,C$2,Zeiterfassung!$J$8:$J$103,'R EUR.Monat'!$A8)</f>
        <v>0</v>
      </c>
      <c r="D8" s="43">
        <f ca="1">SUMIFS(Zeiterfassung!$O$8:$O$103,Zeiterfassung!$P$8:$P$103,D$2,Zeiterfassung!$J$8:$J$103,'R EUR.Monat'!$A8)</f>
        <v>0</v>
      </c>
      <c r="E8" s="43">
        <f ca="1">SUMIFS(Zeiterfassung!$O$8:$O$103,Zeiterfassung!$P$8:$P$103,E$2,Zeiterfassung!$J$8:$J$103,'R EUR.Monat'!$A8)</f>
        <v>0</v>
      </c>
      <c r="F8" s="43">
        <f ca="1">SUMIFS(Zeiterfassung!$O$8:$O$103,Zeiterfassung!$P$8:$P$103,F$2,Zeiterfassung!$J$8:$J$103,'R EUR.Monat'!$A8)</f>
        <v>0</v>
      </c>
      <c r="G8" s="43">
        <f ca="1">SUMIFS(Zeiterfassung!$O$8:$O$103,Zeiterfassung!$P$8:$P$103,G$2,Zeiterfassung!$J$8:$J$103,'R EUR.Monat'!$A8)</f>
        <v>0</v>
      </c>
      <c r="H8" s="43">
        <f ca="1">SUMIFS(Zeiterfassung!$O$8:$O$103,Zeiterfassung!$P$8:$P$103,H$2,Zeiterfassung!$J$8:$J$103,'R EUR.Monat'!$A8)</f>
        <v>1155</v>
      </c>
      <c r="I8" s="43">
        <f ca="1">SUMIFS(Zeiterfassung!$O$8:$O$103,Zeiterfassung!$P$8:$P$103,I$2,Zeiterfassung!$J$8:$J$103,'R EUR.Monat'!$A8)</f>
        <v>0</v>
      </c>
      <c r="J8" s="43">
        <f ca="1">SUMIFS(Zeiterfassung!$O$8:$O$103,Zeiterfassung!$P$8:$P$103,J$2,Zeiterfassung!$J$8:$J$103,'R EUR.Monat'!$A8)</f>
        <v>0</v>
      </c>
      <c r="K8" s="43">
        <f ca="1">SUMIFS(Zeiterfassung!$O$8:$O$103,Zeiterfassung!$P$8:$P$103,K$2,Zeiterfassung!$J$8:$J$103,'R EUR.Monat'!$A8)</f>
        <v>0</v>
      </c>
      <c r="L8" s="43">
        <f ca="1">SUMIFS(Zeiterfassung!$O$8:$O$103,Zeiterfassung!$P$8:$P$103,L$2,Zeiterfassung!$J$8:$J$103,'R EUR.Monat'!$A8)</f>
        <v>0</v>
      </c>
      <c r="M8" s="43">
        <f ca="1">SUMIFS(Zeiterfassung!$O$8:$O$103,Zeiterfassung!$P$8:$P$103,M$2,Zeiterfassung!$J$8:$J$103,'R EUR.Monat'!$A8)</f>
        <v>0</v>
      </c>
      <c r="N8" s="44">
        <f t="shared" ca="1" si="0"/>
        <v>1155</v>
      </c>
    </row>
    <row r="9" spans="1:14" ht="18" customHeight="1" x14ac:dyDescent="0.2">
      <c r="A9" s="31" t="str">
        <f ca="1">OFFSET(Basisdaten!B23,1,0)</f>
        <v>Projekt G</v>
      </c>
      <c r="B9" s="43">
        <f ca="1">SUMIFS(Zeiterfassung!$O$8:$O$103,Zeiterfassung!$P$8:$P$103,B$2,Zeiterfassung!$J$8:$J$103,'R EUR.Monat'!$A9)</f>
        <v>0</v>
      </c>
      <c r="C9" s="43">
        <f ca="1">SUMIFS(Zeiterfassung!$O$8:$O$103,Zeiterfassung!$P$8:$P$103,C$2,Zeiterfassung!$J$8:$J$103,'R EUR.Monat'!$A9)</f>
        <v>0</v>
      </c>
      <c r="D9" s="43">
        <f ca="1">SUMIFS(Zeiterfassung!$O$8:$O$103,Zeiterfassung!$P$8:$P$103,D$2,Zeiterfassung!$J$8:$J$103,'R EUR.Monat'!$A9)</f>
        <v>0</v>
      </c>
      <c r="E9" s="43">
        <f ca="1">SUMIFS(Zeiterfassung!$O$8:$O$103,Zeiterfassung!$P$8:$P$103,E$2,Zeiterfassung!$J$8:$J$103,'R EUR.Monat'!$A9)</f>
        <v>0</v>
      </c>
      <c r="F9" s="43">
        <f ca="1">SUMIFS(Zeiterfassung!$O$8:$O$103,Zeiterfassung!$P$8:$P$103,F$2,Zeiterfassung!$J$8:$J$103,'R EUR.Monat'!$A9)</f>
        <v>0</v>
      </c>
      <c r="G9" s="43">
        <f ca="1">SUMIFS(Zeiterfassung!$O$8:$O$103,Zeiterfassung!$P$8:$P$103,G$2,Zeiterfassung!$J$8:$J$103,'R EUR.Monat'!$A9)</f>
        <v>0</v>
      </c>
      <c r="H9" s="43">
        <f ca="1">SUMIFS(Zeiterfassung!$O$8:$O$103,Zeiterfassung!$P$8:$P$103,H$2,Zeiterfassung!$J$8:$J$103,'R EUR.Monat'!$A9)</f>
        <v>0</v>
      </c>
      <c r="I9" s="43">
        <f ca="1">SUMIFS(Zeiterfassung!$O$8:$O$103,Zeiterfassung!$P$8:$P$103,I$2,Zeiterfassung!$J$8:$J$103,'R EUR.Monat'!$A9)</f>
        <v>0</v>
      </c>
      <c r="J9" s="43">
        <f ca="1">SUMIFS(Zeiterfassung!$O$8:$O$103,Zeiterfassung!$P$8:$P$103,J$2,Zeiterfassung!$J$8:$J$103,'R EUR.Monat'!$A9)</f>
        <v>70</v>
      </c>
      <c r="K9" s="43">
        <f ca="1">SUMIFS(Zeiterfassung!$O$8:$O$103,Zeiterfassung!$P$8:$P$103,K$2,Zeiterfassung!$J$8:$J$103,'R EUR.Monat'!$A9)</f>
        <v>0</v>
      </c>
      <c r="L9" s="43">
        <f ca="1">SUMIFS(Zeiterfassung!$O$8:$O$103,Zeiterfassung!$P$8:$P$103,L$2,Zeiterfassung!$J$8:$J$103,'R EUR.Monat'!$A9)</f>
        <v>0</v>
      </c>
      <c r="M9" s="43">
        <f ca="1">SUMIFS(Zeiterfassung!$O$8:$O$103,Zeiterfassung!$P$8:$P$103,M$2,Zeiterfassung!$J$8:$J$103,'R EUR.Monat'!$A9)</f>
        <v>0</v>
      </c>
      <c r="N9" s="44">
        <f t="shared" ca="1" si="0"/>
        <v>70</v>
      </c>
    </row>
    <row r="10" spans="1:14" ht="18" customHeight="1" x14ac:dyDescent="0.2">
      <c r="A10" s="31">
        <f ca="1">OFFSET(Basisdaten!B24,1,0)</f>
        <v>0</v>
      </c>
      <c r="B10" s="43">
        <f ca="1">SUMIFS(Zeiterfassung!$O$8:$O$103,Zeiterfassung!$P$8:$P$103,B$2,Zeiterfassung!$J$8:$J$103,'R EUR.Monat'!$A10)</f>
        <v>0</v>
      </c>
      <c r="C10" s="43">
        <f ca="1">SUMIFS(Zeiterfassung!$O$8:$O$103,Zeiterfassung!$P$8:$P$103,C$2,Zeiterfassung!$J$8:$J$103,'R EUR.Monat'!$A10)</f>
        <v>0</v>
      </c>
      <c r="D10" s="43">
        <f ca="1">SUMIFS(Zeiterfassung!$O$8:$O$103,Zeiterfassung!$P$8:$P$103,D$2,Zeiterfassung!$J$8:$J$103,'R EUR.Monat'!$A10)</f>
        <v>0</v>
      </c>
      <c r="E10" s="43">
        <f ca="1">SUMIFS(Zeiterfassung!$O$8:$O$103,Zeiterfassung!$P$8:$P$103,E$2,Zeiterfassung!$J$8:$J$103,'R EUR.Monat'!$A10)</f>
        <v>0</v>
      </c>
      <c r="F10" s="43">
        <f ca="1">SUMIFS(Zeiterfassung!$O$8:$O$103,Zeiterfassung!$P$8:$P$103,F$2,Zeiterfassung!$J$8:$J$103,'R EUR.Monat'!$A10)</f>
        <v>0</v>
      </c>
      <c r="G10" s="43">
        <f ca="1">SUMIFS(Zeiterfassung!$O$8:$O$103,Zeiterfassung!$P$8:$P$103,G$2,Zeiterfassung!$J$8:$J$103,'R EUR.Monat'!$A10)</f>
        <v>0</v>
      </c>
      <c r="H10" s="43">
        <f ca="1">SUMIFS(Zeiterfassung!$O$8:$O$103,Zeiterfassung!$P$8:$P$103,H$2,Zeiterfassung!$J$8:$J$103,'R EUR.Monat'!$A10)</f>
        <v>0</v>
      </c>
      <c r="I10" s="43">
        <f ca="1">SUMIFS(Zeiterfassung!$O$8:$O$103,Zeiterfassung!$P$8:$P$103,I$2,Zeiterfassung!$J$8:$J$103,'R EUR.Monat'!$A10)</f>
        <v>0</v>
      </c>
      <c r="J10" s="43">
        <f ca="1">SUMIFS(Zeiterfassung!$O$8:$O$103,Zeiterfassung!$P$8:$P$103,J$2,Zeiterfassung!$J$8:$J$103,'R EUR.Monat'!$A10)</f>
        <v>0</v>
      </c>
      <c r="K10" s="43">
        <f ca="1">SUMIFS(Zeiterfassung!$O$8:$O$103,Zeiterfassung!$P$8:$P$103,K$2,Zeiterfassung!$J$8:$J$103,'R EUR.Monat'!$A10)</f>
        <v>0</v>
      </c>
      <c r="L10" s="43">
        <f ca="1">SUMIFS(Zeiterfassung!$O$8:$O$103,Zeiterfassung!$P$8:$P$103,L$2,Zeiterfassung!$J$8:$J$103,'R EUR.Monat'!$A10)</f>
        <v>0</v>
      </c>
      <c r="M10" s="43">
        <f ca="1">SUMIFS(Zeiterfassung!$O$8:$O$103,Zeiterfassung!$P$8:$P$103,M$2,Zeiterfassung!$J$8:$J$103,'R EUR.Monat'!$A10)</f>
        <v>0</v>
      </c>
      <c r="N10" s="44">
        <f t="shared" ca="1" si="0"/>
        <v>0</v>
      </c>
    </row>
    <row r="11" spans="1:14" ht="18" customHeight="1" x14ac:dyDescent="0.2">
      <c r="A11" s="31">
        <f ca="1">OFFSET(Basisdaten!B25,1,0)</f>
        <v>0</v>
      </c>
      <c r="B11" s="43">
        <f ca="1">SUMIFS(Zeiterfassung!$O$8:$O$103,Zeiterfassung!$P$8:$P$103,B$2,Zeiterfassung!$J$8:$J$103,'R EUR.Monat'!$A11)</f>
        <v>0</v>
      </c>
      <c r="C11" s="43">
        <f ca="1">SUMIFS(Zeiterfassung!$O$8:$O$103,Zeiterfassung!$P$8:$P$103,C$2,Zeiterfassung!$J$8:$J$103,'R EUR.Monat'!$A11)</f>
        <v>0</v>
      </c>
      <c r="D11" s="43">
        <f ca="1">SUMIFS(Zeiterfassung!$O$8:$O$103,Zeiterfassung!$P$8:$P$103,D$2,Zeiterfassung!$J$8:$J$103,'R EUR.Monat'!$A11)</f>
        <v>0</v>
      </c>
      <c r="E11" s="43">
        <f ca="1">SUMIFS(Zeiterfassung!$O$8:$O$103,Zeiterfassung!$P$8:$P$103,E$2,Zeiterfassung!$J$8:$J$103,'R EUR.Monat'!$A11)</f>
        <v>0</v>
      </c>
      <c r="F11" s="43">
        <f ca="1">SUMIFS(Zeiterfassung!$O$8:$O$103,Zeiterfassung!$P$8:$P$103,F$2,Zeiterfassung!$J$8:$J$103,'R EUR.Monat'!$A11)</f>
        <v>0</v>
      </c>
      <c r="G11" s="43">
        <f ca="1">SUMIFS(Zeiterfassung!$O$8:$O$103,Zeiterfassung!$P$8:$P$103,G$2,Zeiterfassung!$J$8:$J$103,'R EUR.Monat'!$A11)</f>
        <v>0</v>
      </c>
      <c r="H11" s="43">
        <f ca="1">SUMIFS(Zeiterfassung!$O$8:$O$103,Zeiterfassung!$P$8:$P$103,H$2,Zeiterfassung!$J$8:$J$103,'R EUR.Monat'!$A11)</f>
        <v>0</v>
      </c>
      <c r="I11" s="43">
        <f ca="1">SUMIFS(Zeiterfassung!$O$8:$O$103,Zeiterfassung!$P$8:$P$103,I$2,Zeiterfassung!$J$8:$J$103,'R EUR.Monat'!$A11)</f>
        <v>0</v>
      </c>
      <c r="J11" s="43">
        <f ca="1">SUMIFS(Zeiterfassung!$O$8:$O$103,Zeiterfassung!$P$8:$P$103,J$2,Zeiterfassung!$J$8:$J$103,'R EUR.Monat'!$A11)</f>
        <v>0</v>
      </c>
      <c r="K11" s="43">
        <f ca="1">SUMIFS(Zeiterfassung!$O$8:$O$103,Zeiterfassung!$P$8:$P$103,K$2,Zeiterfassung!$J$8:$J$103,'R EUR.Monat'!$A11)</f>
        <v>0</v>
      </c>
      <c r="L11" s="43">
        <f ca="1">SUMIFS(Zeiterfassung!$O$8:$O$103,Zeiterfassung!$P$8:$P$103,L$2,Zeiterfassung!$J$8:$J$103,'R EUR.Monat'!$A11)</f>
        <v>0</v>
      </c>
      <c r="M11" s="43">
        <f ca="1">SUMIFS(Zeiterfassung!$O$8:$O$103,Zeiterfassung!$P$8:$P$103,M$2,Zeiterfassung!$J$8:$J$103,'R EUR.Monat'!$A11)</f>
        <v>0</v>
      </c>
      <c r="N11" s="44">
        <f t="shared" ca="1" si="0"/>
        <v>0</v>
      </c>
    </row>
    <row r="12" spans="1:14" x14ac:dyDescent="0.2">
      <c r="A12" s="50" t="s">
        <v>49</v>
      </c>
      <c r="B12" s="52">
        <f ca="1">SUM(B4:B11)</f>
        <v>0</v>
      </c>
      <c r="C12" s="52">
        <f t="shared" ref="C12:N12" ca="1" si="1">SUM(C4:C11)</f>
        <v>3082.5</v>
      </c>
      <c r="D12" s="52">
        <f t="shared" ca="1" si="1"/>
        <v>0</v>
      </c>
      <c r="E12" s="52">
        <f t="shared" ca="1" si="1"/>
        <v>0</v>
      </c>
      <c r="F12" s="52">
        <f t="shared" ca="1" si="1"/>
        <v>0</v>
      </c>
      <c r="G12" s="52">
        <f t="shared" ca="1" si="1"/>
        <v>0</v>
      </c>
      <c r="H12" s="52">
        <f t="shared" ca="1" si="1"/>
        <v>3112.5</v>
      </c>
      <c r="I12" s="52">
        <f t="shared" ca="1" si="1"/>
        <v>0</v>
      </c>
      <c r="J12" s="52">
        <f t="shared" ca="1" si="1"/>
        <v>70</v>
      </c>
      <c r="K12" s="52">
        <f t="shared" ca="1" si="1"/>
        <v>0</v>
      </c>
      <c r="L12" s="52">
        <f t="shared" ca="1" si="1"/>
        <v>0</v>
      </c>
      <c r="M12" s="52">
        <f t="shared" ca="1" si="1"/>
        <v>0</v>
      </c>
      <c r="N12" s="52">
        <f t="shared" ca="1" si="1"/>
        <v>6265</v>
      </c>
    </row>
  </sheetData>
  <pageMargins left="0.70866141732283472" right="0.70866141732283472" top="0.78740157480314965" bottom="0.78740157480314965"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8707-9F3E-4F4D-A742-0C96F8A1F803}">
  <sheetPr>
    <pageSetUpPr fitToPage="1"/>
  </sheetPr>
  <dimension ref="A4:B17"/>
  <sheetViews>
    <sheetView showGridLines="0" zoomScaleNormal="100" workbookViewId="0">
      <selection activeCell="B25" sqref="B25"/>
    </sheetView>
  </sheetViews>
  <sheetFormatPr baseColWidth="10" defaultRowHeight="15" x14ac:dyDescent="0.2"/>
  <cols>
    <col min="1" max="1" width="21" bestFit="1" customWidth="1"/>
    <col min="2" max="2" width="18.83203125" bestFit="1" customWidth="1"/>
    <col min="3" max="3" width="17.1640625" bestFit="1" customWidth="1"/>
  </cols>
  <sheetData>
    <row r="4" spans="1:2" x14ac:dyDescent="0.2">
      <c r="A4" s="28" t="s">
        <v>52</v>
      </c>
      <c r="B4" t="s">
        <v>55</v>
      </c>
    </row>
    <row r="5" spans="1:2" x14ac:dyDescent="0.2">
      <c r="A5" s="47">
        <v>44228</v>
      </c>
      <c r="B5" s="49">
        <v>1.25</v>
      </c>
    </row>
    <row r="6" spans="1:2" x14ac:dyDescent="0.2">
      <c r="A6" s="47">
        <v>44229</v>
      </c>
      <c r="B6" s="49">
        <v>4</v>
      </c>
    </row>
    <row r="7" spans="1:2" x14ac:dyDescent="0.2">
      <c r="A7" s="47">
        <v>44230</v>
      </c>
      <c r="B7" s="49">
        <v>4</v>
      </c>
    </row>
    <row r="8" spans="1:2" x14ac:dyDescent="0.2">
      <c r="A8" s="47">
        <v>44231</v>
      </c>
      <c r="B8" s="49">
        <v>4</v>
      </c>
    </row>
    <row r="9" spans="1:2" x14ac:dyDescent="0.2">
      <c r="A9" s="47">
        <v>44232</v>
      </c>
      <c r="B9" s="49">
        <v>4</v>
      </c>
    </row>
    <row r="10" spans="1:2" x14ac:dyDescent="0.2">
      <c r="A10" s="47">
        <v>44235</v>
      </c>
      <c r="B10" s="49">
        <v>4</v>
      </c>
    </row>
    <row r="11" spans="1:2" x14ac:dyDescent="0.2">
      <c r="A11" s="47">
        <v>44399</v>
      </c>
      <c r="B11" s="49">
        <v>2.75</v>
      </c>
    </row>
    <row r="12" spans="1:2" x14ac:dyDescent="0.2">
      <c r="A12" s="47">
        <v>44400</v>
      </c>
      <c r="B12" s="49">
        <v>8.5</v>
      </c>
    </row>
    <row r="13" spans="1:2" x14ac:dyDescent="0.2">
      <c r="A13" s="47">
        <v>44403</v>
      </c>
      <c r="B13" s="49">
        <v>8</v>
      </c>
    </row>
    <row r="14" spans="1:2" x14ac:dyDescent="0.2">
      <c r="A14" s="47">
        <v>44404</v>
      </c>
      <c r="B14" s="49">
        <v>8</v>
      </c>
    </row>
    <row r="15" spans="1:2" x14ac:dyDescent="0.2">
      <c r="A15" s="47">
        <v>44405</v>
      </c>
      <c r="B15" s="49">
        <v>10</v>
      </c>
    </row>
    <row r="16" spans="1:2" x14ac:dyDescent="0.2">
      <c r="A16" s="47">
        <v>44452</v>
      </c>
      <c r="B16" s="49">
        <v>3.5</v>
      </c>
    </row>
    <row r="17" spans="1:2" x14ac:dyDescent="0.2">
      <c r="A17" s="48" t="s">
        <v>53</v>
      </c>
      <c r="B17" s="49">
        <v>62</v>
      </c>
    </row>
  </sheetData>
  <pageMargins left="0.70866141732283472" right="0.70866141732283472" top="0.78740157480314965" bottom="0.78740157480314965" header="0.31496062992125984" footer="0.31496062992125984"/>
  <pageSetup paperSize="9" scale="76" orientation="landscape" r:id="rId2"/>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12CC5-438A-4176-997F-98F76B140922}">
  <sheetPr>
    <tabColor theme="1" tint="0.499984740745262"/>
  </sheetPr>
  <dimension ref="B2:C40"/>
  <sheetViews>
    <sheetView showGridLines="0" workbookViewId="0">
      <selection activeCell="F22" sqref="F22"/>
    </sheetView>
  </sheetViews>
  <sheetFormatPr baseColWidth="10" defaultColWidth="11.5" defaultRowHeight="14" x14ac:dyDescent="0.15"/>
  <cols>
    <col min="1" max="1" width="6.33203125" style="1" customWidth="1"/>
    <col min="2" max="2" width="11.5" style="1"/>
    <col min="3" max="3" width="47.1640625" style="1" bestFit="1" customWidth="1"/>
    <col min="4" max="16384" width="11.5" style="1"/>
  </cols>
  <sheetData>
    <row r="2" spans="2:3" ht="16" x14ac:dyDescent="0.2">
      <c r="B2" s="18" t="s">
        <v>66</v>
      </c>
      <c r="C2" s="19" t="s">
        <v>67</v>
      </c>
    </row>
    <row r="3" spans="2:3" x14ac:dyDescent="0.15">
      <c r="B3" s="62">
        <v>44197</v>
      </c>
      <c r="C3" s="26" t="s">
        <v>73</v>
      </c>
    </row>
    <row r="4" spans="2:3" x14ac:dyDescent="0.15">
      <c r="B4" s="62">
        <v>44202</v>
      </c>
      <c r="C4" s="26" t="s">
        <v>74</v>
      </c>
    </row>
    <row r="5" spans="2:3" x14ac:dyDescent="0.15">
      <c r="B5" s="62">
        <v>44263</v>
      </c>
      <c r="C5" s="26" t="s">
        <v>75</v>
      </c>
    </row>
    <row r="6" spans="2:3" x14ac:dyDescent="0.15">
      <c r="B6" s="62">
        <v>44288</v>
      </c>
      <c r="C6" s="26" t="s">
        <v>68</v>
      </c>
    </row>
    <row r="7" spans="2:3" x14ac:dyDescent="0.15">
      <c r="B7" s="62">
        <v>44290</v>
      </c>
      <c r="C7" s="26" t="s">
        <v>69</v>
      </c>
    </row>
    <row r="8" spans="2:3" x14ac:dyDescent="0.15">
      <c r="B8" s="62">
        <v>44291</v>
      </c>
      <c r="C8" s="26" t="s">
        <v>70</v>
      </c>
    </row>
    <row r="9" spans="2:3" x14ac:dyDescent="0.15">
      <c r="B9" s="62">
        <v>44317</v>
      </c>
      <c r="C9" s="26" t="s">
        <v>76</v>
      </c>
    </row>
    <row r="10" spans="2:3" x14ac:dyDescent="0.15">
      <c r="B10" s="62">
        <v>44329</v>
      </c>
      <c r="C10" s="26" t="s">
        <v>77</v>
      </c>
    </row>
    <row r="11" spans="2:3" x14ac:dyDescent="0.15">
      <c r="B11" s="62">
        <v>44339</v>
      </c>
      <c r="C11" s="26" t="s">
        <v>71</v>
      </c>
    </row>
    <row r="12" spans="2:3" x14ac:dyDescent="0.15">
      <c r="B12" s="62">
        <v>44340</v>
      </c>
      <c r="C12" s="26" t="s">
        <v>72</v>
      </c>
    </row>
    <row r="13" spans="2:3" x14ac:dyDescent="0.15">
      <c r="B13" s="62">
        <v>44350</v>
      </c>
      <c r="C13" s="26" t="s">
        <v>78</v>
      </c>
    </row>
    <row r="14" spans="2:3" x14ac:dyDescent="0.15">
      <c r="B14" s="62">
        <v>44416</v>
      </c>
      <c r="C14" s="26" t="s">
        <v>79</v>
      </c>
    </row>
    <row r="15" spans="2:3" x14ac:dyDescent="0.15">
      <c r="B15" s="62">
        <v>44423</v>
      </c>
      <c r="C15" s="26" t="s">
        <v>80</v>
      </c>
    </row>
    <row r="16" spans="2:3" x14ac:dyDescent="0.15">
      <c r="B16" s="62">
        <v>44459</v>
      </c>
      <c r="C16" s="26" t="s">
        <v>81</v>
      </c>
    </row>
    <row r="17" spans="2:3" x14ac:dyDescent="0.15">
      <c r="B17" s="62">
        <v>44472</v>
      </c>
      <c r="C17" s="26" t="s">
        <v>82</v>
      </c>
    </row>
    <row r="18" spans="2:3" x14ac:dyDescent="0.15">
      <c r="B18" s="62">
        <v>44500</v>
      </c>
      <c r="C18" s="26" t="s">
        <v>86</v>
      </c>
    </row>
    <row r="19" spans="2:3" x14ac:dyDescent="0.15">
      <c r="B19" s="62">
        <v>44501</v>
      </c>
      <c r="C19" s="26" t="s">
        <v>83</v>
      </c>
    </row>
    <row r="20" spans="2:3" x14ac:dyDescent="0.15">
      <c r="B20" s="62">
        <v>44517</v>
      </c>
      <c r="C20" s="26" t="s">
        <v>106</v>
      </c>
    </row>
    <row r="21" spans="2:3" x14ac:dyDescent="0.15">
      <c r="B21" s="62">
        <v>44555</v>
      </c>
      <c r="C21" s="26" t="s">
        <v>84</v>
      </c>
    </row>
    <row r="22" spans="2:3" x14ac:dyDescent="0.15">
      <c r="B22" s="62">
        <v>44556</v>
      </c>
      <c r="C22" s="26" t="s">
        <v>85</v>
      </c>
    </row>
    <row r="23" spans="2:3" x14ac:dyDescent="0.15">
      <c r="B23" s="62"/>
      <c r="C23" s="26"/>
    </row>
    <row r="24" spans="2:3" x14ac:dyDescent="0.15">
      <c r="B24" s="62"/>
      <c r="C24" s="26"/>
    </row>
    <row r="25" spans="2:3" x14ac:dyDescent="0.15">
      <c r="B25" s="62"/>
      <c r="C25" s="26"/>
    </row>
    <row r="26" spans="2:3" x14ac:dyDescent="0.15">
      <c r="B26" s="62"/>
      <c r="C26" s="26"/>
    </row>
    <row r="27" spans="2:3" x14ac:dyDescent="0.15">
      <c r="B27" s="62"/>
      <c r="C27" s="26"/>
    </row>
    <row r="28" spans="2:3" x14ac:dyDescent="0.15">
      <c r="B28" s="62"/>
      <c r="C28" s="26"/>
    </row>
    <row r="29" spans="2:3" x14ac:dyDescent="0.15">
      <c r="B29" s="62"/>
      <c r="C29" s="26"/>
    </row>
    <row r="30" spans="2:3" x14ac:dyDescent="0.15">
      <c r="B30" s="62"/>
      <c r="C30" s="26"/>
    </row>
    <row r="31" spans="2:3" x14ac:dyDescent="0.15">
      <c r="B31" s="62"/>
      <c r="C31" s="26"/>
    </row>
    <row r="32" spans="2:3" x14ac:dyDescent="0.15">
      <c r="B32" s="62"/>
      <c r="C32" s="26"/>
    </row>
    <row r="33" spans="2:3" x14ac:dyDescent="0.15">
      <c r="B33" s="62"/>
      <c r="C33" s="26"/>
    </row>
    <row r="34" spans="2:3" x14ac:dyDescent="0.15">
      <c r="B34" s="62"/>
      <c r="C34" s="26"/>
    </row>
    <row r="35" spans="2:3" x14ac:dyDescent="0.15">
      <c r="B35" s="62"/>
      <c r="C35" s="26"/>
    </row>
    <row r="36" spans="2:3" x14ac:dyDescent="0.15">
      <c r="B36" s="62"/>
      <c r="C36" s="26"/>
    </row>
    <row r="37" spans="2:3" x14ac:dyDescent="0.15">
      <c r="B37" s="62"/>
      <c r="C37" s="26"/>
    </row>
    <row r="38" spans="2:3" x14ac:dyDescent="0.15">
      <c r="B38" s="62"/>
      <c r="C38" s="26"/>
    </row>
    <row r="39" spans="2:3" x14ac:dyDescent="0.15">
      <c r="B39" s="62"/>
      <c r="C39" s="26"/>
    </row>
    <row r="40" spans="2:3" x14ac:dyDescent="0.15">
      <c r="B40" s="62"/>
      <c r="C40" s="26"/>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Basisdaten</vt:lpstr>
      <vt:lpstr>Zeiterfassung</vt:lpstr>
      <vt:lpstr>Abwesenheitstage</vt:lpstr>
      <vt:lpstr>R Stundenkonto</vt:lpstr>
      <vt:lpstr>R Std.Monat</vt:lpstr>
      <vt:lpstr>R EUR.Monat</vt:lpstr>
      <vt:lpstr>R Std.Tagessicht</vt:lpstr>
      <vt:lpstr>Feiertage</vt:lpstr>
      <vt:lpstr>Abwesenheitstage!Print_Area</vt:lpstr>
      <vt:lpstr>'R EUR.Monat'!Print_Area</vt:lpstr>
      <vt:lpstr>'R Std.Monat'!Print_Area</vt:lpstr>
      <vt:lpstr>'R Stundenkonto'!Print_Area</vt:lpstr>
      <vt:lpstr>Zeiterfassung!Print_Area</vt:lpstr>
    </vt:vector>
  </TitlesOfParts>
  <Company>Catus Consultants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Lechner</dc:creator>
  <cp:lastModifiedBy>Microsoft Office User</cp:lastModifiedBy>
  <cp:lastPrinted>2021-09-13T20:49:21Z</cp:lastPrinted>
  <dcterms:created xsi:type="dcterms:W3CDTF">2015-06-05T18:19:34Z</dcterms:created>
  <dcterms:modified xsi:type="dcterms:W3CDTF">2021-09-17T09:55:00Z</dcterms:modified>
  <cp:version>v1, 13.08.2021</cp:version>
</cp:coreProperties>
</file>